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_Finance\Budget\GEMMA\FY19 Cycle\GEMMA Rebudget May 2019\"/>
    </mc:Choice>
  </mc:AlternateContent>
  <bookViews>
    <workbookView xWindow="0" yWindow="0" windowWidth="23040" windowHeight="11052" tabRatio="810"/>
  </bookViews>
  <sheets>
    <sheet name="Budget Summary" sheetId="18" r:id="rId1"/>
    <sheet name="Summary by WBS w IDC MTDC" sheetId="23" r:id="rId2"/>
    <sheet name="IDC y MTDC" sheetId="24" r:id="rId3"/>
    <sheet name="Summary" sheetId="25" r:id="rId4"/>
    <sheet name="PMO Mgmt" sheetId="4" r:id="rId5"/>
    <sheet name="GNAO-RTC" sheetId="5" r:id="rId6"/>
    <sheet name="TDA" sheetId="7" r:id="rId7"/>
    <sheet name="PIO" sheetId="8" r:id="rId8"/>
  </sheets>
  <externalReferences>
    <externalReference r:id="rId9"/>
  </externalReferences>
  <definedNames>
    <definedName name="_xlnm._FilterDatabase" localSheetId="0" hidden="1">'Budget Summary'!$B$2:$F$52</definedName>
    <definedName name="_xlnm.Print_Area" localSheetId="1">'Summary by WBS w IDC MTDC'!$B$11:$L$65</definedName>
    <definedName name="_xlnm.Print_Titles" localSheetId="1">'Summary by WBS w IDC MTDC'!$11:$11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8" l="1"/>
  <c r="D39" i="18"/>
  <c r="D43" i="18"/>
  <c r="D37" i="18"/>
  <c r="D25" i="18"/>
  <c r="D24" i="18"/>
  <c r="D21" i="18"/>
  <c r="D16" i="18"/>
  <c r="D9" i="18"/>
  <c r="G23" i="25"/>
  <c r="F23" i="25"/>
  <c r="G22" i="25"/>
  <c r="F22" i="25"/>
  <c r="G21" i="25"/>
  <c r="F21" i="25"/>
  <c r="G20" i="25"/>
  <c r="F20" i="25"/>
  <c r="G19" i="25"/>
  <c r="F19" i="25"/>
  <c r="G18" i="25"/>
  <c r="G24" i="25" s="1"/>
  <c r="F18" i="25"/>
  <c r="F24" i="25" s="1"/>
  <c r="G17" i="25"/>
  <c r="F17" i="25"/>
  <c r="G15" i="25"/>
  <c r="F15" i="25"/>
  <c r="G14" i="25"/>
  <c r="F14" i="25"/>
  <c r="G13" i="25"/>
  <c r="F13" i="25"/>
  <c r="G11" i="25"/>
  <c r="F11" i="25"/>
  <c r="G9" i="25"/>
  <c r="G10" i="25" s="1"/>
  <c r="F9" i="25"/>
  <c r="F10" i="25" s="1"/>
  <c r="E9" i="25"/>
  <c r="E10" i="25" s="1"/>
  <c r="C26" i="25"/>
  <c r="D26" i="25"/>
  <c r="E26" i="25"/>
  <c r="F26" i="25"/>
  <c r="G26" i="25"/>
  <c r="H26" i="25"/>
  <c r="B26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H20" i="25" s="1"/>
  <c r="E19" i="25"/>
  <c r="D19" i="25"/>
  <c r="D24" i="25" s="1"/>
  <c r="C19" i="25"/>
  <c r="B19" i="25"/>
  <c r="E18" i="25"/>
  <c r="D18" i="25"/>
  <c r="C18" i="25"/>
  <c r="C24" i="25" s="1"/>
  <c r="B18" i="25"/>
  <c r="B24" i="25" s="1"/>
  <c r="B14" i="25"/>
  <c r="C14" i="25"/>
  <c r="D14" i="25"/>
  <c r="D16" i="25" s="1"/>
  <c r="E14" i="25"/>
  <c r="E16" i="25" s="1"/>
  <c r="B15" i="25"/>
  <c r="C15" i="25"/>
  <c r="D15" i="25"/>
  <c r="E15" i="25"/>
  <c r="E13" i="25"/>
  <c r="D13" i="25"/>
  <c r="C13" i="25"/>
  <c r="B13" i="25"/>
  <c r="E11" i="25"/>
  <c r="D11" i="25"/>
  <c r="C11" i="25"/>
  <c r="B11" i="25"/>
  <c r="C9" i="25"/>
  <c r="C10" i="25" s="1"/>
  <c r="D9" i="25"/>
  <c r="D10" i="25" s="1"/>
  <c r="D12" i="25" s="1"/>
  <c r="B9" i="25"/>
  <c r="B10" i="25" s="1"/>
  <c r="D14" i="18"/>
  <c r="G62" i="23"/>
  <c r="E50" i="23"/>
  <c r="D50" i="23"/>
  <c r="G61" i="23"/>
  <c r="D25" i="25" l="1"/>
  <c r="D27" i="25" s="1"/>
  <c r="G16" i="25"/>
  <c r="C16" i="25"/>
  <c r="B12" i="25"/>
  <c r="C12" i="25"/>
  <c r="H13" i="25"/>
  <c r="G12" i="25"/>
  <c r="G25" i="25" s="1"/>
  <c r="G27" i="25" s="1"/>
  <c r="H15" i="25"/>
  <c r="F16" i="25"/>
  <c r="E12" i="25"/>
  <c r="H11" i="25"/>
  <c r="E24" i="25"/>
  <c r="H24" i="25" s="1"/>
  <c r="F12" i="25"/>
  <c r="F25" i="25" s="1"/>
  <c r="F27" i="25" s="1"/>
  <c r="H9" i="25"/>
  <c r="H10" i="25" s="1"/>
  <c r="H14" i="25"/>
  <c r="B16" i="25"/>
  <c r="B25" i="25" s="1"/>
  <c r="B27" i="25" s="1"/>
  <c r="H18" i="25"/>
  <c r="H19" i="25"/>
  <c r="H22" i="25"/>
  <c r="H23" i="25"/>
  <c r="H21" i="25"/>
  <c r="H17" i="23"/>
  <c r="D17" i="23"/>
  <c r="E17" i="23"/>
  <c r="F17" i="23"/>
  <c r="G17" i="23"/>
  <c r="C17" i="23"/>
  <c r="E25" i="25" l="1"/>
  <c r="E27" i="25" s="1"/>
  <c r="C25" i="25"/>
  <c r="C27" i="25" s="1"/>
  <c r="H12" i="25"/>
  <c r="H16" i="25"/>
  <c r="B11" i="24"/>
  <c r="K41" i="23"/>
  <c r="O64" i="23"/>
  <c r="O60" i="23"/>
  <c r="O58" i="23"/>
  <c r="O51" i="23"/>
  <c r="O46" i="23"/>
  <c r="O37" i="23"/>
  <c r="O36" i="23"/>
  <c r="O32" i="23"/>
  <c r="O31" i="23"/>
  <c r="O30" i="23"/>
  <c r="O29" i="23"/>
  <c r="O24" i="23"/>
  <c r="O23" i="23"/>
  <c r="O22" i="23"/>
  <c r="O21" i="23"/>
  <c r="N18" i="23"/>
  <c r="N17" i="23"/>
  <c r="O54" i="23"/>
  <c r="O53" i="23"/>
  <c r="O49" i="23"/>
  <c r="O48" i="23"/>
  <c r="O43" i="23"/>
  <c r="O42" i="23"/>
  <c r="O40" i="23"/>
  <c r="O33" i="23"/>
  <c r="O27" i="23"/>
  <c r="N57" i="23"/>
  <c r="N52" i="23"/>
  <c r="N50" i="23"/>
  <c r="N47" i="23"/>
  <c r="N45" i="23"/>
  <c r="N25" i="23"/>
  <c r="O25" i="23" s="1"/>
  <c r="N24" i="23"/>
  <c r="N21" i="23"/>
  <c r="H25" i="25" l="1"/>
  <c r="H27" i="25" s="1"/>
  <c r="N26" i="23"/>
  <c r="O26" i="23" s="1"/>
  <c r="N41" i="23"/>
  <c r="N55" i="23" l="1"/>
  <c r="N59" i="23" s="1"/>
  <c r="N62" i="23" l="1"/>
  <c r="N61" i="23"/>
  <c r="N63" i="23" s="1"/>
  <c r="N65" i="23"/>
  <c r="C23" i="23" l="1"/>
  <c r="C24" i="23"/>
  <c r="I24" i="23" s="1"/>
  <c r="D25" i="23"/>
  <c r="E25" i="23"/>
  <c r="F25" i="23"/>
  <c r="G25" i="23"/>
  <c r="H25" i="23"/>
  <c r="C21" i="23"/>
  <c r="C25" i="23" l="1"/>
  <c r="D31" i="23" l="1"/>
  <c r="E31" i="23"/>
  <c r="F31" i="23"/>
  <c r="G31" i="23"/>
  <c r="H31" i="23"/>
  <c r="I31" i="23"/>
  <c r="C31" i="23"/>
  <c r="G23" i="7"/>
  <c r="F23" i="7"/>
  <c r="E23" i="7"/>
  <c r="D23" i="7"/>
  <c r="C23" i="7"/>
  <c r="G14" i="7"/>
  <c r="F15" i="7"/>
  <c r="E15" i="7"/>
  <c r="G13" i="7"/>
  <c r="F9" i="7"/>
  <c r="E9" i="7"/>
  <c r="D9" i="7"/>
  <c r="C9" i="7"/>
  <c r="G7" i="7"/>
  <c r="G15" i="7" l="1"/>
  <c r="C15" i="7"/>
  <c r="D15" i="7"/>
  <c r="C10" i="7"/>
  <c r="F10" i="7"/>
  <c r="F11" i="7" s="1"/>
  <c r="F24" i="7" s="1"/>
  <c r="F26" i="7" s="1"/>
  <c r="E10" i="7"/>
  <c r="E11" i="7" s="1"/>
  <c r="E24" i="7" s="1"/>
  <c r="E26" i="7" s="1"/>
  <c r="D10" i="7"/>
  <c r="D11" i="7" s="1"/>
  <c r="D24" i="7" s="1"/>
  <c r="D26" i="7" s="1"/>
  <c r="G8" i="7"/>
  <c r="G9" i="7" s="1"/>
  <c r="G10" i="7" l="1"/>
  <c r="G11" i="7" s="1"/>
  <c r="G24" i="7" s="1"/>
  <c r="G26" i="7" s="1"/>
  <c r="C11" i="7"/>
  <c r="C24" i="7" s="1"/>
  <c r="C26" i="7" s="1"/>
  <c r="D10" i="8" l="1"/>
  <c r="E10" i="8"/>
  <c r="F10" i="8"/>
  <c r="C10" i="8"/>
  <c r="G22" i="8"/>
  <c r="G21" i="8"/>
  <c r="G20" i="8"/>
  <c r="F23" i="8"/>
  <c r="G19" i="8"/>
  <c r="E23" i="8"/>
  <c r="D23" i="8"/>
  <c r="C23" i="8"/>
  <c r="F15" i="8"/>
  <c r="G14" i="8"/>
  <c r="E15" i="8"/>
  <c r="G13" i="8"/>
  <c r="G15" i="8" s="1"/>
  <c r="C15" i="8"/>
  <c r="C9" i="8"/>
  <c r="F9" i="8"/>
  <c r="E9" i="8"/>
  <c r="D9" i="8"/>
  <c r="G8" i="8"/>
  <c r="G9" i="8" s="1"/>
  <c r="G7" i="8"/>
  <c r="D38" i="23"/>
  <c r="E38" i="23"/>
  <c r="C38" i="23"/>
  <c r="E11" i="8" l="1"/>
  <c r="E24" i="8" s="1"/>
  <c r="E26" i="8" s="1"/>
  <c r="F11" i="8"/>
  <c r="F24" i="8" s="1"/>
  <c r="F26" i="8" s="1"/>
  <c r="D11" i="8"/>
  <c r="D15" i="8"/>
  <c r="G17" i="8"/>
  <c r="G23" i="8" s="1"/>
  <c r="D46" i="23"/>
  <c r="E46" i="23"/>
  <c r="F46" i="23"/>
  <c r="G46" i="23"/>
  <c r="H46" i="23"/>
  <c r="C46" i="23"/>
  <c r="D45" i="23"/>
  <c r="E45" i="23"/>
  <c r="F45" i="23"/>
  <c r="G45" i="23"/>
  <c r="H45" i="23"/>
  <c r="C45" i="23"/>
  <c r="G11" i="24"/>
  <c r="C11" i="24"/>
  <c r="D24" i="8" l="1"/>
  <c r="D26" i="8" s="1"/>
  <c r="G10" i="8"/>
  <c r="G11" i="8" s="1"/>
  <c r="G24" i="8" s="1"/>
  <c r="G26" i="8" s="1"/>
  <c r="C11" i="8"/>
  <c r="C24" i="8" s="1"/>
  <c r="C26" i="8" s="1"/>
  <c r="C51" i="23" l="1"/>
  <c r="F51" i="23"/>
  <c r="G51" i="23"/>
  <c r="H51" i="23"/>
  <c r="H50" i="23"/>
  <c r="G17" i="24"/>
  <c r="F17" i="24"/>
  <c r="E17" i="24"/>
  <c r="B17" i="24"/>
  <c r="G16" i="24"/>
  <c r="D17" i="24"/>
  <c r="C12" i="24"/>
  <c r="C17" i="24" s="1"/>
  <c r="G13" i="24"/>
  <c r="F11" i="24"/>
  <c r="F13" i="24" s="1"/>
  <c r="E11" i="24"/>
  <c r="E16" i="24" s="1"/>
  <c r="D11" i="24"/>
  <c r="G8" i="24"/>
  <c r="F8" i="24"/>
  <c r="E8" i="24"/>
  <c r="D8" i="24"/>
  <c r="C8" i="24"/>
  <c r="B8" i="24"/>
  <c r="H7" i="24"/>
  <c r="H6" i="24"/>
  <c r="C13" i="24" l="1"/>
  <c r="D16" i="24"/>
  <c r="D18" i="24" s="1"/>
  <c r="C16" i="24"/>
  <c r="H11" i="24"/>
  <c r="H16" i="24" s="1"/>
  <c r="H18" i="24" s="1"/>
  <c r="C50" i="23"/>
  <c r="H12" i="24"/>
  <c r="H17" i="24" s="1"/>
  <c r="F16" i="24"/>
  <c r="E51" i="23"/>
  <c r="D13" i="24"/>
  <c r="B16" i="24"/>
  <c r="B18" i="24" s="1"/>
  <c r="G50" i="23"/>
  <c r="D51" i="23"/>
  <c r="F50" i="23"/>
  <c r="H8" i="24"/>
  <c r="F18" i="24"/>
  <c r="E18" i="24"/>
  <c r="E13" i="24"/>
  <c r="C18" i="24"/>
  <c r="G18" i="24"/>
  <c r="B13" i="24"/>
  <c r="H13" i="24" l="1"/>
  <c r="F51" i="18"/>
  <c r="F48" i="18"/>
  <c r="F47" i="18"/>
  <c r="F45" i="18"/>
  <c r="F42" i="18"/>
  <c r="F40" i="18"/>
  <c r="F39" i="18"/>
  <c r="F35" i="18"/>
  <c r="F33" i="18"/>
  <c r="F32" i="18"/>
  <c r="F31" i="18"/>
  <c r="F30" i="18"/>
  <c r="F28" i="18"/>
  <c r="F27" i="18"/>
  <c r="F23" i="18"/>
  <c r="F20" i="18"/>
  <c r="F19" i="18"/>
  <c r="F15" i="18"/>
  <c r="L64" i="23"/>
  <c r="L60" i="23"/>
  <c r="L58" i="23"/>
  <c r="L54" i="23"/>
  <c r="L53" i="23"/>
  <c r="I51" i="23"/>
  <c r="L51" i="23" s="1"/>
  <c r="H52" i="23"/>
  <c r="H57" i="23" s="1"/>
  <c r="G52" i="23"/>
  <c r="G57" i="23" s="1"/>
  <c r="F52" i="23"/>
  <c r="F57" i="23" s="1"/>
  <c r="E52" i="23"/>
  <c r="E57" i="23" s="1"/>
  <c r="D52" i="23"/>
  <c r="D57" i="23" s="1"/>
  <c r="C52" i="23"/>
  <c r="C57" i="23" s="1"/>
  <c r="L49" i="23"/>
  <c r="L48" i="23"/>
  <c r="F47" i="23"/>
  <c r="E47" i="23"/>
  <c r="L43" i="23"/>
  <c r="L42" i="23"/>
  <c r="L40" i="23"/>
  <c r="E39" i="23"/>
  <c r="D39" i="23"/>
  <c r="C39" i="23"/>
  <c r="H37" i="23"/>
  <c r="H36" i="23"/>
  <c r="G36" i="23"/>
  <c r="F36" i="23"/>
  <c r="F38" i="23" s="1"/>
  <c r="L33" i="23"/>
  <c r="H32" i="23"/>
  <c r="G32" i="23"/>
  <c r="F32" i="23"/>
  <c r="E32" i="23"/>
  <c r="D32" i="23"/>
  <c r="C32" i="23"/>
  <c r="L31" i="23"/>
  <c r="I30" i="23"/>
  <c r="L30" i="23" s="1"/>
  <c r="I29" i="23"/>
  <c r="L29" i="23" s="1"/>
  <c r="L27" i="23"/>
  <c r="H26" i="23"/>
  <c r="G26" i="23"/>
  <c r="F26" i="23"/>
  <c r="E26" i="23"/>
  <c r="D26" i="23"/>
  <c r="C26" i="23"/>
  <c r="I25" i="23"/>
  <c r="L25" i="23" s="1"/>
  <c r="L24" i="23"/>
  <c r="I23" i="23"/>
  <c r="L23" i="23" s="1"/>
  <c r="I22" i="23"/>
  <c r="L22" i="23" s="1"/>
  <c r="I21" i="23"/>
  <c r="L21" i="23" s="1"/>
  <c r="L19" i="23"/>
  <c r="O19" i="23" s="1"/>
  <c r="H18" i="23"/>
  <c r="H41" i="23" s="1"/>
  <c r="G18" i="23"/>
  <c r="G41" i="23" s="1"/>
  <c r="F18" i="23"/>
  <c r="F41" i="23" s="1"/>
  <c r="E18" i="23"/>
  <c r="E41" i="23" s="1"/>
  <c r="D18" i="23"/>
  <c r="D41" i="23" s="1"/>
  <c r="C18" i="23"/>
  <c r="I16" i="23"/>
  <c r="O16" i="23" s="1"/>
  <c r="I15" i="23"/>
  <c r="I14" i="23"/>
  <c r="E16" i="18" l="1"/>
  <c r="F16" i="18" s="1"/>
  <c r="I17" i="23"/>
  <c r="F55" i="23"/>
  <c r="D55" i="23"/>
  <c r="E55" i="23"/>
  <c r="L17" i="23"/>
  <c r="O17" i="23"/>
  <c r="C55" i="23"/>
  <c r="L15" i="23"/>
  <c r="O15" i="23"/>
  <c r="L14" i="23"/>
  <c r="O14" i="23"/>
  <c r="C41" i="23"/>
  <c r="G38" i="23"/>
  <c r="G39" i="23" s="1"/>
  <c r="G55" i="23" s="1"/>
  <c r="H38" i="23"/>
  <c r="H39" i="23" s="1"/>
  <c r="H55" i="23" s="1"/>
  <c r="C59" i="23"/>
  <c r="I36" i="23"/>
  <c r="L36" i="23" s="1"/>
  <c r="F39" i="23"/>
  <c r="I18" i="23"/>
  <c r="I37" i="23"/>
  <c r="L37" i="23" s="1"/>
  <c r="C47" i="23"/>
  <c r="G47" i="23"/>
  <c r="I32" i="23"/>
  <c r="L32" i="23" s="1"/>
  <c r="I45" i="23"/>
  <c r="H47" i="23"/>
  <c r="I46" i="23"/>
  <c r="L46" i="23" s="1"/>
  <c r="I26" i="23"/>
  <c r="I35" i="23"/>
  <c r="O35" i="23" s="1"/>
  <c r="I50" i="23"/>
  <c r="O50" i="23" s="1"/>
  <c r="D47" i="23"/>
  <c r="L18" i="23" l="1"/>
  <c r="O18" i="23"/>
  <c r="I41" i="23"/>
  <c r="L45" i="23"/>
  <c r="O45" i="23"/>
  <c r="L26" i="23"/>
  <c r="G59" i="23"/>
  <c r="L35" i="23"/>
  <c r="I38" i="23"/>
  <c r="H59" i="23"/>
  <c r="I47" i="23"/>
  <c r="C56" i="23"/>
  <c r="F59" i="23"/>
  <c r="E59" i="23"/>
  <c r="E56" i="23"/>
  <c r="I39" i="23"/>
  <c r="O39" i="23" s="1"/>
  <c r="I52" i="23"/>
  <c r="O52" i="23" s="1"/>
  <c r="L50" i="23"/>
  <c r="D59" i="23"/>
  <c r="D56" i="23"/>
  <c r="C62" i="23"/>
  <c r="C61" i="23"/>
  <c r="O41" i="23" l="1"/>
  <c r="L41" i="23"/>
  <c r="L47" i="23"/>
  <c r="O47" i="23"/>
  <c r="L38" i="23"/>
  <c r="O38" i="23"/>
  <c r="I55" i="23"/>
  <c r="O55" i="23" s="1"/>
  <c r="G56" i="23"/>
  <c r="H56" i="23"/>
  <c r="F56" i="23"/>
  <c r="L39" i="23"/>
  <c r="C63" i="23"/>
  <c r="C65" i="23" s="1"/>
  <c r="H62" i="23"/>
  <c r="H61" i="23"/>
  <c r="D62" i="23"/>
  <c r="D61" i="23"/>
  <c r="E62" i="23"/>
  <c r="E61" i="23"/>
  <c r="L52" i="23"/>
  <c r="I57" i="23"/>
  <c r="F61" i="23"/>
  <c r="F62" i="23"/>
  <c r="L57" i="23" l="1"/>
  <c r="O57" i="23"/>
  <c r="I56" i="23"/>
  <c r="L55" i="23"/>
  <c r="E63" i="23"/>
  <c r="E65" i="23" s="1"/>
  <c r="G63" i="23"/>
  <c r="G65" i="23" s="1"/>
  <c r="F63" i="23"/>
  <c r="F65" i="23" s="1"/>
  <c r="H63" i="23"/>
  <c r="H65" i="23" s="1"/>
  <c r="I59" i="23"/>
  <c r="D63" i="23"/>
  <c r="D65" i="23" s="1"/>
  <c r="I61" i="23" l="1"/>
  <c r="O59" i="23"/>
  <c r="L56" i="23"/>
  <c r="O56" i="23"/>
  <c r="I62" i="23"/>
  <c r="L59" i="23"/>
  <c r="L62" i="23" l="1"/>
  <c r="O62" i="23"/>
  <c r="D49" i="18"/>
  <c r="E49" i="18" s="1"/>
  <c r="F49" i="18" s="1"/>
  <c r="O61" i="23"/>
  <c r="L61" i="23"/>
  <c r="D50" i="18"/>
  <c r="E50" i="18" s="1"/>
  <c r="F50" i="18" s="1"/>
  <c r="I63" i="23"/>
  <c r="L63" i="23" l="1"/>
  <c r="O63" i="23"/>
  <c r="I65" i="23"/>
  <c r="L65" i="23" l="1"/>
  <c r="O65" i="23"/>
  <c r="C68" i="23"/>
  <c r="D34" i="18"/>
  <c r="F34" i="18" s="1"/>
  <c r="E38" i="18" l="1"/>
  <c r="F38" i="18" s="1"/>
  <c r="C2" i="5" l="1"/>
  <c r="E2" i="4"/>
  <c r="E41" i="18" l="1"/>
  <c r="F41" i="18" s="1"/>
  <c r="E43" i="18"/>
  <c r="F43" i="18" s="1"/>
  <c r="E25" i="18"/>
  <c r="F25" i="18" s="1"/>
  <c r="E37" i="18" l="1"/>
  <c r="E44" i="18" s="1"/>
  <c r="E9" i="18"/>
  <c r="F9" i="18" s="1"/>
  <c r="E24" i="18"/>
  <c r="D44" i="18"/>
  <c r="E21" i="18"/>
  <c r="F21" i="18" s="1"/>
  <c r="F37" i="18" l="1"/>
  <c r="F44" i="18" s="1"/>
  <c r="F24" i="18"/>
  <c r="F26" i="18" s="1"/>
  <c r="E26" i="18"/>
  <c r="D26" i="18"/>
  <c r="D22" i="18"/>
  <c r="E22" i="18" l="1"/>
  <c r="F22" i="18"/>
  <c r="D18" i="18"/>
  <c r="E14" i="18"/>
  <c r="F14" i="18" l="1"/>
  <c r="F18" i="18" s="1"/>
  <c r="F46" i="18" s="1"/>
  <c r="F52" i="18" s="1"/>
  <c r="E18" i="18"/>
  <c r="E46" i="18" s="1"/>
  <c r="E52" i="18" s="1"/>
  <c r="D46" i="18"/>
  <c r="D52" i="18" l="1"/>
</calcChain>
</file>

<file path=xl/sharedStrings.xml><?xml version="1.0" encoding="utf-8"?>
<sst xmlns="http://schemas.openxmlformats.org/spreadsheetml/2006/main" count="379" uniqueCount="158">
  <si>
    <t>GNAO</t>
  </si>
  <si>
    <t>GM2150000 PIO, Publications, Education MMA</t>
  </si>
  <si>
    <t>GEMINI OBSERVATORY</t>
  </si>
  <si>
    <t>Complexity Factor Rate</t>
  </si>
  <si>
    <t>WBS 1.1 PMO Mgmt Account</t>
  </si>
  <si>
    <t xml:space="preserve"> FY 2019</t>
  </si>
  <si>
    <t xml:space="preserve"> FY 2020</t>
  </si>
  <si>
    <t xml:space="preserve"> FY 2021</t>
  </si>
  <si>
    <t xml:space="preserve"> FY 2022</t>
  </si>
  <si>
    <t xml:space="preserve"> FY 2023</t>
  </si>
  <si>
    <t xml:space="preserve"> FY 2024</t>
  </si>
  <si>
    <t>-Total Fiscal Years</t>
  </si>
  <si>
    <t>WBS 1.4 Ops Software Upgrade</t>
  </si>
  <si>
    <t>No complexity factor</t>
  </si>
  <si>
    <t>+TOTAL WAGE &amp; BENEFITS</t>
  </si>
  <si>
    <t>+TOTAL TRAVEL</t>
  </si>
  <si>
    <t>+TOTAL OTHER DIRECT COSTS</t>
  </si>
  <si>
    <t>-TOTAL EXPENSE</t>
  </si>
  <si>
    <t>-GRAND TOTAL</t>
  </si>
  <si>
    <t>+TOTAL PERMANENT EQUIPMENT</t>
  </si>
  <si>
    <t>WBS 1.5 PIO, Publications, Education</t>
  </si>
  <si>
    <t>COMPLEXITY FACTOR</t>
  </si>
  <si>
    <t>Program/Cost Category</t>
  </si>
  <si>
    <t>Rate</t>
  </si>
  <si>
    <t>Note</t>
  </si>
  <si>
    <t xml:space="preserve">PMO/Sys Eng </t>
  </si>
  <si>
    <t>Average rate</t>
  </si>
  <si>
    <t>OPS Upgrades</t>
  </si>
  <si>
    <t>PIO</t>
  </si>
  <si>
    <t>n/a</t>
  </si>
  <si>
    <t>Total budget prior to IDC</t>
  </si>
  <si>
    <t>MTDC Adjustment</t>
  </si>
  <si>
    <t>Basis for Fees</t>
  </si>
  <si>
    <t xml:space="preserve">        Total IDC</t>
  </si>
  <si>
    <t>Limit</t>
  </si>
  <si>
    <t>Remaining</t>
  </si>
  <si>
    <t>GRAND TOTAL</t>
  </si>
  <si>
    <t>CONTRACTS by Project</t>
  </si>
  <si>
    <t>TOTAL CONTRACTS</t>
  </si>
  <si>
    <t>MTDC ADJUSTMENT  - Contract Pmts over $25k per year</t>
  </si>
  <si>
    <t>PIO, Publications, Education MMA</t>
  </si>
  <si>
    <t>Total VAR</t>
  </si>
  <si>
    <t>Indirect Costs</t>
  </si>
  <si>
    <t>Direct Labor Salaries and wages</t>
  </si>
  <si>
    <t>A.</t>
  </si>
  <si>
    <t>1. Senior Personnel - listed on sheet 2</t>
  </si>
  <si>
    <t>B.</t>
  </si>
  <si>
    <t>Other Personnel by Job - detail list on sheet 2</t>
  </si>
  <si>
    <t>1. Post docs</t>
  </si>
  <si>
    <t>2. Other professionals</t>
  </si>
  <si>
    <t>3. Graduate students</t>
  </si>
  <si>
    <t>4. Undergraduates</t>
  </si>
  <si>
    <t>5. Administrative/Secretarial</t>
  </si>
  <si>
    <t>Total Salaries and wages</t>
  </si>
  <si>
    <t>C.</t>
  </si>
  <si>
    <t>Fringe benefits</t>
  </si>
  <si>
    <t>Total Salaries and Benefits</t>
  </si>
  <si>
    <t>D.</t>
  </si>
  <si>
    <t>Computer Equipment (list item and dollar amount for each item exceeding $5,000)</t>
  </si>
  <si>
    <t>General Equipment (list item and dollar amount for each item exceeding $5,000)</t>
  </si>
  <si>
    <t>Total Equipment</t>
  </si>
  <si>
    <t>E.</t>
  </si>
  <si>
    <t>Travel</t>
  </si>
  <si>
    <t>Domestic: (Includes Canada, Mexico &amp; US Possessions)</t>
  </si>
  <si>
    <t xml:space="preserve">Foreign:  </t>
  </si>
  <si>
    <t>Total Travel</t>
  </si>
  <si>
    <t>F.</t>
  </si>
  <si>
    <t>PARTICIPANT SUPPORT COSTS</t>
  </si>
  <si>
    <t xml:space="preserve">1. STIPENDS   </t>
  </si>
  <si>
    <t>2. TRAVEL</t>
  </si>
  <si>
    <t>3. SUBSISTENCE</t>
  </si>
  <si>
    <t>4. OTHER</t>
  </si>
  <si>
    <t>TOTAL NUMBER OF PARTICIPANTS</t>
  </si>
  <si>
    <t>Total Participant Support Costs</t>
  </si>
  <si>
    <t>G.</t>
  </si>
  <si>
    <t>Other Direct Costs</t>
  </si>
  <si>
    <t>1. Materials and Supplies</t>
  </si>
  <si>
    <t>2. Publication Costs/Documentation/Dissemination</t>
  </si>
  <si>
    <t>3. Consultants</t>
  </si>
  <si>
    <t>4. Computer Services</t>
  </si>
  <si>
    <t xml:space="preserve">5. Contracted Services </t>
  </si>
  <si>
    <t>6. Utiltiies</t>
  </si>
  <si>
    <t>7. Other Direct Costs</t>
  </si>
  <si>
    <t>Total Other Direct Costs</t>
  </si>
  <si>
    <t>H.</t>
  </si>
  <si>
    <t>Total Direct Costs (A through G)</t>
  </si>
  <si>
    <t>I.</t>
  </si>
  <si>
    <t>Indirect Costs (see detail Indirect)</t>
  </si>
  <si>
    <t>J.</t>
  </si>
  <si>
    <t>Total Direct and Indirect Costs</t>
  </si>
  <si>
    <t>K.</t>
  </si>
  <si>
    <t>Residual Funds</t>
  </si>
  <si>
    <t>L.</t>
  </si>
  <si>
    <t>Amount of Request</t>
  </si>
  <si>
    <t>M.</t>
  </si>
  <si>
    <t>Cost Sharing</t>
  </si>
  <si>
    <t>CSA PROPOSAL SUBMITTAL</t>
  </si>
  <si>
    <t>Total Sept 12, 2018</t>
  </si>
  <si>
    <t>TOTAL MTDC ADJUSTMENT</t>
  </si>
  <si>
    <t>AURA @ rate = 3.97%</t>
  </si>
  <si>
    <t>CAS @ rate = 5.35%</t>
  </si>
  <si>
    <t>March 4, 2019</t>
  </si>
  <si>
    <t>GEMMA BUDGET</t>
  </si>
  <si>
    <t>TOTAL PROPOSAL</t>
  </si>
  <si>
    <t>YEAR 1</t>
  </si>
  <si>
    <t>YEAR 2</t>
  </si>
  <si>
    <t>Total Budget Summary - Form 1030</t>
  </si>
  <si>
    <t>CONTRACT, MTDC &amp; BASIS FOR FEES</t>
  </si>
  <si>
    <t>Included in Contracts &amp; Labor Budgets</t>
  </si>
  <si>
    <t xml:space="preserve"> GR2120000 GNAO</t>
  </si>
  <si>
    <t xml:space="preserve"> GR2150000 PIO, Publications, Education MMA</t>
  </si>
  <si>
    <t>Total MTDC Adjustment</t>
  </si>
  <si>
    <t>Basis for Fees - Contracts</t>
  </si>
  <si>
    <t>GEMMA - REBUDGET MAY 2019</t>
  </si>
  <si>
    <t>AT 5/22/19</t>
  </si>
  <si>
    <t>Added to each expense category, except for Travel and Service Contracts</t>
  </si>
  <si>
    <t xml:space="preserve"> GR2120000 GNAO/RTC</t>
  </si>
  <si>
    <t>GNAO/RTC Contracts -4contracts over 6 years @ $25k each</t>
  </si>
  <si>
    <t>GNAO/RTC Contracts - 4 contracts over 6 years @ $25k per year</t>
  </si>
  <si>
    <t>WBS 1.2 &amp; 1.3 GNAO/RTC</t>
  </si>
  <si>
    <t>May 22, 2019</t>
  </si>
  <si>
    <t>Award Number 1839225</t>
  </si>
  <si>
    <t>FYE19</t>
  </si>
  <si>
    <t>FYE20</t>
  </si>
  <si>
    <t>FYE21</t>
  </si>
  <si>
    <t>FYE22</t>
  </si>
  <si>
    <t>TOTAL</t>
  </si>
  <si>
    <t>Senior Personnel</t>
  </si>
  <si>
    <t>Other Personnel</t>
  </si>
  <si>
    <t>Total Salaries and Wages</t>
  </si>
  <si>
    <t>Fringe Benefits</t>
  </si>
  <si>
    <t>Total Salaries/Wages/Benefits</t>
  </si>
  <si>
    <t>Equipment</t>
  </si>
  <si>
    <t>Domestic Travel</t>
  </si>
  <si>
    <t>Foreign Travel</t>
  </si>
  <si>
    <t>Participant Support</t>
  </si>
  <si>
    <t>Other Direct Costs: Materials and Supplies</t>
  </si>
  <si>
    <t>Other Direct Costs: Publication/Documentation/Dissemination</t>
  </si>
  <si>
    <t>Other Direct Costs: Consultant Services</t>
  </si>
  <si>
    <t>Other Direct Costs: Computer Services</t>
  </si>
  <si>
    <t>Other Direct Costs: Subawards</t>
  </si>
  <si>
    <t>Other Direct Costs: Other</t>
  </si>
  <si>
    <t>Total Direct Costs</t>
  </si>
  <si>
    <t>Indirect Costs - Calculated on Total Project in IDC Account</t>
  </si>
  <si>
    <t>CSA Period of Performance Start:</t>
  </si>
  <si>
    <t>CSA Period of Performance End:</t>
  </si>
  <si>
    <r>
      <t xml:space="preserve">Indirect Costs - </t>
    </r>
    <r>
      <rPr>
        <b/>
        <i/>
        <sz val="9"/>
        <color rgb="FF0070C0"/>
        <rFont val="Calibri"/>
        <family val="2"/>
        <scheme val="minor"/>
      </rPr>
      <t>Calculated on Total Project in IDC Account</t>
    </r>
  </si>
  <si>
    <t>Complexity Factor Rate included in non-travel budget items</t>
  </si>
  <si>
    <t>WBS 1.4 TDA</t>
  </si>
  <si>
    <t>TOTAL MAR-19</t>
  </si>
  <si>
    <t>GNAO/RTC Contracts - 4 contracts over 6 years @ $25k per year (contracts not active all years)</t>
  </si>
  <si>
    <t>PIO, Publications, Education</t>
  </si>
  <si>
    <t>May 23, 2019</t>
  </si>
  <si>
    <t>FYE23</t>
  </si>
  <si>
    <t>FYE24</t>
  </si>
  <si>
    <t>March 2019 Budget Submission</t>
  </si>
  <si>
    <t>GEMMA - SUMMARY BUDGET - ALL PROJECTS</t>
  </si>
  <si>
    <t>AT 5/23/19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</si>
</sst>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-409]mmmm\ d\,\ yyyy;@"/>
    <numFmt numFmtId="166" formatCode="_(* #,##0_);_(* \(#,##0\);_(* &quot;-&quot;??_);_(@_)"/>
    <numFmt numFmtId="167" formatCode="&quot;$&quot;#,##0.00"/>
    <numFmt numFmtId="168" formatCode="m/d/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b/>
      <i/>
      <sz val="9"/>
      <color theme="5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5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 applyNumberFormat="0" applyFill="0" applyBorder="0" applyAlignment="0" applyProtection="0"/>
    <xf numFmtId="165" fontId="2" fillId="0" borderId="0"/>
    <xf numFmtId="0" fontId="1" fillId="0" borderId="0"/>
    <xf numFmtId="8" fontId="18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Protection="0">
      <alignment vertical="top"/>
    </xf>
    <xf numFmtId="0" fontId="29" fillId="13" borderId="28" applyNumberFormat="0" applyFont="0" applyFill="0" applyAlignment="0" applyProtection="0"/>
    <xf numFmtId="0" fontId="30" fillId="0" borderId="0" applyNumberFormat="0" applyFill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</cellStyleXfs>
  <cellXfs count="236">
    <xf numFmtId="0" fontId="0" fillId="0" borderId="0" xfId="0"/>
    <xf numFmtId="0" fontId="5" fillId="0" borderId="0" xfId="0" applyFont="1"/>
    <xf numFmtId="43" fontId="5" fillId="0" borderId="0" xfId="1" applyFont="1"/>
    <xf numFmtId="38" fontId="5" fillId="0" borderId="0" xfId="0" applyNumberFormat="1" applyFont="1"/>
    <xf numFmtId="38" fontId="0" fillId="0" borderId="0" xfId="0" applyNumberFormat="1"/>
    <xf numFmtId="0" fontId="0" fillId="0" borderId="0" xfId="0"/>
    <xf numFmtId="0" fontId="6" fillId="0" borderId="0" xfId="3" applyFont="1" applyAlignment="1" applyProtection="1">
      <alignment horizontal="left"/>
    </xf>
    <xf numFmtId="9" fontId="0" fillId="7" borderId="0" xfId="0" applyNumberFormat="1" applyFill="1"/>
    <xf numFmtId="0" fontId="5" fillId="0" borderId="4" xfId="6" applyFont="1" applyBorder="1"/>
    <xf numFmtId="38" fontId="5" fillId="0" borderId="0" xfId="1" applyNumberFormat="1" applyFont="1" applyFill="1" applyBorder="1"/>
    <xf numFmtId="38" fontId="5" fillId="4" borderId="5" xfId="1" applyNumberFormat="1" applyFont="1" applyFill="1" applyBorder="1"/>
    <xf numFmtId="0" fontId="5" fillId="6" borderId="4" xfId="6" applyFont="1" applyFill="1" applyBorder="1"/>
    <xf numFmtId="38" fontId="4" fillId="6" borderId="0" xfId="6" applyNumberFormat="1" applyFont="1" applyFill="1" applyBorder="1"/>
    <xf numFmtId="38" fontId="4" fillId="6" borderId="5" xfId="6" applyNumberFormat="1" applyFont="1" applyFill="1" applyBorder="1"/>
    <xf numFmtId="38" fontId="5" fillId="0" borderId="5" xfId="1" applyNumberFormat="1" applyFont="1" applyFill="1" applyBorder="1"/>
    <xf numFmtId="0" fontId="8" fillId="8" borderId="4" xfId="6" applyFont="1" applyFill="1" applyBorder="1"/>
    <xf numFmtId="38" fontId="8" fillId="8" borderId="0" xfId="1" applyNumberFormat="1" applyFont="1" applyFill="1" applyBorder="1"/>
    <xf numFmtId="38" fontId="8" fillId="8" borderId="5" xfId="1" applyNumberFormat="1" applyFont="1" applyFill="1" applyBorder="1"/>
    <xf numFmtId="0" fontId="8" fillId="9" borderId="6" xfId="6" applyFont="1" applyFill="1" applyBorder="1"/>
    <xf numFmtId="38" fontId="8" fillId="9" borderId="7" xfId="1" applyNumberFormat="1" applyFont="1" applyFill="1" applyBorder="1"/>
    <xf numFmtId="38" fontId="8" fillId="9" borderId="8" xfId="1" applyNumberFormat="1" applyFont="1" applyFill="1" applyBorder="1"/>
    <xf numFmtId="0" fontId="8" fillId="0" borderId="0" xfId="0" applyFont="1"/>
    <xf numFmtId="0" fontId="5" fillId="7" borderId="0" xfId="0" applyFont="1" applyFill="1"/>
    <xf numFmtId="0" fontId="8" fillId="2" borderId="0" xfId="0" applyFont="1" applyFill="1"/>
    <xf numFmtId="0" fontId="5" fillId="0" borderId="0" xfId="0" applyFont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0" borderId="0" xfId="0" quotePrefix="1" applyFont="1"/>
    <xf numFmtId="0" fontId="10" fillId="5" borderId="1" xfId="3" applyFont="1" applyFill="1" applyBorder="1" applyAlignment="1" applyProtection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0" fontId="8" fillId="5" borderId="3" xfId="6" applyFont="1" applyFill="1" applyBorder="1" applyAlignment="1">
      <alignment horizontal="center" vertical="center" wrapText="1"/>
    </xf>
    <xf numFmtId="166" fontId="5" fillId="0" borderId="0" xfId="1" applyNumberFormat="1" applyFont="1"/>
    <xf numFmtId="0" fontId="8" fillId="5" borderId="10" xfId="0" applyFont="1" applyFill="1" applyBorder="1"/>
    <xf numFmtId="0" fontId="5" fillId="0" borderId="4" xfId="0" applyFont="1" applyBorder="1" applyAlignment="1">
      <alignment wrapText="1"/>
    </xf>
    <xf numFmtId="166" fontId="5" fillId="0" borderId="0" xfId="1" applyNumberFormat="1" applyFont="1" applyBorder="1" applyAlignment="1">
      <alignment horizontal="center"/>
    </xf>
    <xf numFmtId="166" fontId="5" fillId="0" borderId="5" xfId="1" applyNumberFormat="1" applyFont="1" applyBorder="1" applyAlignment="1">
      <alignment horizontal="center"/>
    </xf>
    <xf numFmtId="0" fontId="8" fillId="0" borderId="6" xfId="0" applyFont="1" applyBorder="1"/>
    <xf numFmtId="166" fontId="8" fillId="0" borderId="7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5" borderId="1" xfId="0" applyFont="1" applyFill="1" applyBorder="1"/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38" fontId="5" fillId="0" borderId="0" xfId="1" applyNumberFormat="1" applyFont="1" applyBorder="1" applyAlignment="1">
      <alignment horizontal="center"/>
    </xf>
    <xf numFmtId="38" fontId="5" fillId="0" borderId="5" xfId="1" applyNumberFormat="1" applyFont="1" applyBorder="1" applyAlignment="1">
      <alignment horizontal="center"/>
    </xf>
    <xf numFmtId="38" fontId="5" fillId="0" borderId="9" xfId="1" applyNumberFormat="1" applyFont="1" applyBorder="1" applyAlignment="1">
      <alignment horizontal="center"/>
    </xf>
    <xf numFmtId="38" fontId="5" fillId="0" borderId="7" xfId="0" applyNumberFormat="1" applyFont="1" applyBorder="1" applyAlignment="1">
      <alignment horizontal="center"/>
    </xf>
    <xf numFmtId="38" fontId="5" fillId="0" borderId="8" xfId="0" applyNumberFormat="1" applyFont="1" applyBorder="1" applyAlignment="1">
      <alignment horizontal="center"/>
    </xf>
    <xf numFmtId="0" fontId="0" fillId="0" borderId="0" xfId="0"/>
    <xf numFmtId="0" fontId="5" fillId="4" borderId="0" xfId="0" applyFont="1" applyFill="1" applyBorder="1"/>
    <xf numFmtId="166" fontId="13" fillId="0" borderId="0" xfId="1" applyNumberFormat="1" applyFont="1" applyAlignment="1">
      <alignment vertical="top"/>
    </xf>
    <xf numFmtId="166" fontId="14" fillId="0" borderId="0" xfId="1" applyNumberFormat="1" applyFont="1" applyAlignment="1"/>
    <xf numFmtId="38" fontId="8" fillId="3" borderId="2" xfId="0" applyNumberFormat="1" applyFont="1" applyFill="1" applyBorder="1" applyAlignment="1">
      <alignment horizontal="center"/>
    </xf>
    <xf numFmtId="38" fontId="8" fillId="3" borderId="3" xfId="0" applyNumberFormat="1" applyFont="1" applyFill="1" applyBorder="1" applyAlignment="1">
      <alignment horizontal="center"/>
    </xf>
    <xf numFmtId="0" fontId="5" fillId="3" borderId="4" xfId="0" applyFont="1" applyFill="1" applyBorder="1"/>
    <xf numFmtId="38" fontId="8" fillId="3" borderId="0" xfId="0" applyNumberFormat="1" applyFont="1" applyFill="1" applyBorder="1" applyAlignment="1">
      <alignment horizontal="center"/>
    </xf>
    <xf numFmtId="38" fontId="8" fillId="3" borderId="5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  <xf numFmtId="166" fontId="5" fillId="3" borderId="0" xfId="1" applyNumberFormat="1" applyFont="1" applyFill="1" applyBorder="1" applyAlignment="1">
      <alignment horizontal="center"/>
    </xf>
    <xf numFmtId="166" fontId="5" fillId="3" borderId="5" xfId="1" applyNumberFormat="1" applyFont="1" applyFill="1" applyBorder="1" applyAlignment="1">
      <alignment horizontal="center"/>
    </xf>
    <xf numFmtId="166" fontId="5" fillId="3" borderId="9" xfId="1" applyNumberFormat="1" applyFont="1" applyFill="1" applyBorder="1" applyAlignment="1">
      <alignment horizontal="center"/>
    </xf>
    <xf numFmtId="166" fontId="8" fillId="3" borderId="7" xfId="1" applyNumberFormat="1" applyFont="1" applyFill="1" applyBorder="1" applyAlignment="1">
      <alignment horizontal="center"/>
    </xf>
    <xf numFmtId="166" fontId="8" fillId="3" borderId="8" xfId="1" applyNumberFormat="1" applyFont="1" applyFill="1" applyBorder="1" applyAlignment="1">
      <alignment horizontal="center"/>
    </xf>
    <xf numFmtId="0" fontId="8" fillId="3" borderId="1" xfId="0" applyFont="1" applyFill="1" applyBorder="1"/>
    <xf numFmtId="166" fontId="8" fillId="3" borderId="3" xfId="1" applyNumberFormat="1" applyFont="1" applyFill="1" applyBorder="1"/>
    <xf numFmtId="0" fontId="8" fillId="3" borderId="6" xfId="0" applyFont="1" applyFill="1" applyBorder="1"/>
    <xf numFmtId="38" fontId="8" fillId="3" borderId="8" xfId="0" applyNumberFormat="1" applyFont="1" applyFill="1" applyBorder="1"/>
    <xf numFmtId="0" fontId="8" fillId="3" borderId="11" xfId="0" applyFont="1" applyFill="1" applyBorder="1"/>
    <xf numFmtId="38" fontId="8" fillId="3" borderId="12" xfId="0" applyNumberFormat="1" applyFont="1" applyFill="1" applyBorder="1" applyAlignment="1">
      <alignment horizontal="center"/>
    </xf>
    <xf numFmtId="0" fontId="15" fillId="4" borderId="0" xfId="0" applyFont="1" applyFill="1" applyBorder="1"/>
    <xf numFmtId="10" fontId="16" fillId="4" borderId="0" xfId="0" applyNumberFormat="1" applyFont="1" applyFill="1" applyBorder="1"/>
    <xf numFmtId="10" fontId="15" fillId="4" borderId="0" xfId="0" applyNumberFormat="1" applyFont="1" applyFill="1" applyBorder="1"/>
    <xf numFmtId="0" fontId="8" fillId="3" borderId="4" xfId="0" applyFont="1" applyFill="1" applyBorder="1"/>
    <xf numFmtId="43" fontId="8" fillId="3" borderId="5" xfId="1" applyFont="1" applyFill="1" applyBorder="1" applyAlignment="1">
      <alignment horizontal="center"/>
    </xf>
    <xf numFmtId="166" fontId="8" fillId="3" borderId="1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8" fillId="3" borderId="0" xfId="1" applyFont="1" applyFill="1" applyBorder="1" applyAlignment="1">
      <alignment horizontal="center"/>
    </xf>
    <xf numFmtId="43" fontId="15" fillId="4" borderId="0" xfId="1" applyFont="1" applyFill="1" applyBorder="1"/>
    <xf numFmtId="43" fontId="8" fillId="3" borderId="4" xfId="1" applyFont="1" applyFill="1" applyBorder="1"/>
    <xf numFmtId="0" fontId="8" fillId="11" borderId="1" xfId="0" applyFont="1" applyFill="1" applyBorder="1"/>
    <xf numFmtId="38" fontId="8" fillId="11" borderId="2" xfId="0" applyNumberFormat="1" applyFont="1" applyFill="1" applyBorder="1" applyAlignment="1">
      <alignment horizontal="right" vertical="top"/>
    </xf>
    <xf numFmtId="0" fontId="5" fillId="11" borderId="0" xfId="0" applyFont="1" applyFill="1"/>
    <xf numFmtId="0" fontId="8" fillId="11" borderId="6" xfId="0" applyFont="1" applyFill="1" applyBorder="1"/>
    <xf numFmtId="38" fontId="8" fillId="11" borderId="7" xfId="0" applyNumberFormat="1" applyFont="1" applyFill="1" applyBorder="1" applyAlignment="1">
      <alignment horizontal="center"/>
    </xf>
    <xf numFmtId="38" fontId="8" fillId="11" borderId="8" xfId="0" applyNumberFormat="1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0" fontId="8" fillId="0" borderId="21" xfId="0" applyFont="1" applyBorder="1"/>
    <xf numFmtId="0" fontId="8" fillId="0" borderId="21" xfId="0" applyFont="1" applyBorder="1" applyAlignment="1">
      <alignment horizontal="center"/>
    </xf>
    <xf numFmtId="166" fontId="5" fillId="3" borderId="21" xfId="1" applyNumberFormat="1" applyFont="1" applyFill="1" applyBorder="1" applyAlignment="1">
      <alignment horizontal="center"/>
    </xf>
    <xf numFmtId="0" fontId="0" fillId="0" borderId="0" xfId="0"/>
    <xf numFmtId="0" fontId="6" fillId="0" borderId="0" xfId="3" applyFont="1" applyAlignment="1" applyProtection="1">
      <alignment horizontal="left"/>
    </xf>
    <xf numFmtId="165" fontId="7" fillId="0" borderId="0" xfId="3" quotePrefix="1" applyNumberFormat="1" applyFont="1" applyAlignment="1" applyProtection="1">
      <alignment horizontal="left"/>
    </xf>
    <xf numFmtId="0" fontId="0" fillId="0" borderId="0" xfId="0" applyFont="1"/>
    <xf numFmtId="0" fontId="0" fillId="0" borderId="0" xfId="0" applyFont="1" applyAlignment="1"/>
    <xf numFmtId="38" fontId="0" fillId="0" borderId="0" xfId="0" applyNumberFormat="1" applyFont="1"/>
    <xf numFmtId="0" fontId="11" fillId="0" borderId="0" xfId="3" applyFont="1" applyAlignment="1">
      <alignment vertical="top" wrapText="1"/>
    </xf>
    <xf numFmtId="0" fontId="12" fillId="0" borderId="0" xfId="3" applyFont="1" applyAlignment="1">
      <alignment horizontal="center"/>
    </xf>
    <xf numFmtId="0" fontId="11" fillId="0" borderId="0" xfId="3" applyFont="1" applyAlignment="1"/>
    <xf numFmtId="1" fontId="11" fillId="0" borderId="19" xfId="3" applyNumberFormat="1" applyFont="1" applyBorder="1" applyAlignment="1">
      <alignment horizontal="center" wrapText="1"/>
    </xf>
    <xf numFmtId="0" fontId="11" fillId="0" borderId="0" xfId="3" applyFont="1" applyFill="1" applyAlignment="1">
      <alignment horizontal="center" vertical="top"/>
    </xf>
    <xf numFmtId="0" fontId="19" fillId="0" borderId="0" xfId="3" applyFont="1" applyFill="1" applyAlignment="1">
      <alignment vertical="top" wrapText="1"/>
    </xf>
    <xf numFmtId="41" fontId="12" fillId="0" borderId="0" xfId="3" applyNumberFormat="1" applyFont="1" applyFill="1" applyAlignment="1">
      <alignment horizontal="center" vertical="top"/>
    </xf>
    <xf numFmtId="0" fontId="12" fillId="0" borderId="0" xfId="3" applyFont="1" applyAlignment="1">
      <alignment vertical="top" wrapText="1"/>
    </xf>
    <xf numFmtId="41" fontId="12" fillId="0" borderId="0" xfId="3" applyNumberFormat="1" applyFont="1" applyFill="1" applyBorder="1" applyAlignment="1">
      <alignment horizontal="center" vertical="top"/>
    </xf>
    <xf numFmtId="0" fontId="20" fillId="0" borderId="0" xfId="3" applyFont="1" applyAlignment="1">
      <alignment vertical="top" wrapText="1"/>
    </xf>
    <xf numFmtId="0" fontId="11" fillId="0" borderId="0" xfId="3" applyFont="1" applyFill="1" applyAlignment="1">
      <alignment vertical="top" wrapText="1"/>
    </xf>
    <xf numFmtId="41" fontId="11" fillId="0" borderId="0" xfId="3" applyNumberFormat="1" applyFont="1" applyFill="1" applyAlignment="1">
      <alignment horizontal="center" vertical="top"/>
    </xf>
    <xf numFmtId="0" fontId="11" fillId="0" borderId="0" xfId="3" applyFont="1" applyFill="1" applyBorder="1" applyAlignment="1">
      <alignment horizontal="center" vertical="top"/>
    </xf>
    <xf numFmtId="0" fontId="12" fillId="0" borderId="0" xfId="3" applyFont="1" applyFill="1" applyBorder="1" applyAlignment="1">
      <alignment vertical="top" wrapText="1"/>
    </xf>
    <xf numFmtId="0" fontId="12" fillId="0" borderId="0" xfId="3" applyFont="1" applyFill="1" applyBorder="1" applyAlignment="1">
      <alignment horizontal="center" vertical="top"/>
    </xf>
    <xf numFmtId="0" fontId="21" fillId="8" borderId="0" xfId="3" applyFont="1" applyFill="1" applyAlignment="1">
      <alignment vertical="top" wrapText="1"/>
    </xf>
    <xf numFmtId="41" fontId="11" fillId="8" borderId="0" xfId="3" applyNumberFormat="1" applyFont="1" applyFill="1" applyAlignment="1">
      <alignment horizontal="center" vertical="top"/>
    </xf>
    <xf numFmtId="41" fontId="17" fillId="0" borderId="0" xfId="3" applyNumberFormat="1" applyFont="1" applyFill="1" applyAlignment="1">
      <alignment vertical="top" wrapText="1"/>
    </xf>
    <xf numFmtId="41" fontId="0" fillId="0" borderId="0" xfId="3" applyNumberFormat="1" applyFont="1" applyFill="1" applyAlignment="1">
      <alignment horizontal="center" vertical="top"/>
    </xf>
    <xf numFmtId="0" fontId="12" fillId="0" borderId="0" xfId="3" applyFont="1" applyFill="1" applyAlignment="1">
      <alignment vertical="top" wrapText="1"/>
    </xf>
    <xf numFmtId="0" fontId="12" fillId="0" borderId="0" xfId="3" applyFont="1" applyFill="1" applyAlignment="1">
      <alignment horizontal="center" vertical="top"/>
    </xf>
    <xf numFmtId="0" fontId="11" fillId="8" borderId="0" xfId="3" applyFont="1" applyFill="1" applyAlignment="1">
      <alignment vertical="top" wrapText="1"/>
    </xf>
    <xf numFmtId="41" fontId="22" fillId="0" borderId="0" xfId="3" applyNumberFormat="1" applyFont="1" applyFill="1" applyAlignment="1">
      <alignment horizontal="center" vertical="top"/>
    </xf>
    <xf numFmtId="0" fontId="12" fillId="0" borderId="0" xfId="3" applyFont="1" applyFill="1" applyAlignment="1">
      <alignment horizontal="center" vertical="top" wrapText="1"/>
    </xf>
    <xf numFmtId="41" fontId="12" fillId="0" borderId="0" xfId="3" applyNumberFormat="1" applyFont="1" applyFill="1" applyAlignment="1">
      <alignment horizontal="center" vertical="top" wrapText="1"/>
    </xf>
    <xf numFmtId="166" fontId="12" fillId="0" borderId="0" xfId="3" applyNumberFormat="1" applyFont="1" applyFill="1" applyAlignment="1">
      <alignment horizontal="center" vertical="top" wrapText="1"/>
    </xf>
    <xf numFmtId="0" fontId="11" fillId="0" borderId="0" xfId="3" applyFont="1" applyFill="1" applyAlignment="1">
      <alignment horizontal="center" vertical="top" wrapText="1"/>
    </xf>
    <xf numFmtId="0" fontId="12" fillId="10" borderId="0" xfId="3" applyFont="1" applyFill="1" applyAlignment="1">
      <alignment vertical="top" wrapText="1"/>
    </xf>
    <xf numFmtId="41" fontId="12" fillId="10" borderId="0" xfId="3" applyNumberFormat="1" applyFont="1" applyFill="1" applyAlignment="1">
      <alignment horizontal="center" vertical="top" wrapText="1"/>
    </xf>
    <xf numFmtId="166" fontId="12" fillId="0" borderId="0" xfId="1" applyNumberFormat="1" applyFont="1" applyFill="1" applyAlignment="1">
      <alignment horizontal="center" vertical="top" wrapText="1"/>
    </xf>
    <xf numFmtId="0" fontId="11" fillId="0" borderId="0" xfId="3" applyFont="1" applyAlignment="1">
      <alignment horizontal="center" vertical="top"/>
    </xf>
    <xf numFmtId="0" fontId="11" fillId="9" borderId="0" xfId="3" applyFont="1" applyFill="1" applyAlignment="1">
      <alignment vertical="top" wrapText="1"/>
    </xf>
    <xf numFmtId="41" fontId="11" fillId="9" borderId="0" xfId="3" applyNumberFormat="1" applyFont="1" applyFill="1" applyAlignment="1">
      <alignment horizontal="center" vertical="top"/>
    </xf>
    <xf numFmtId="41" fontId="11" fillId="0" borderId="0" xfId="3" applyNumberFormat="1" applyFont="1" applyAlignment="1">
      <alignment horizontal="center" vertical="top"/>
    </xf>
    <xf numFmtId="41" fontId="0" fillId="0" borderId="0" xfId="1" applyNumberFormat="1" applyFont="1" applyAlignment="1">
      <alignment horizontal="center" vertical="top"/>
    </xf>
    <xf numFmtId="41" fontId="23" fillId="0" borderId="0" xfId="3" applyNumberFormat="1" applyFont="1" applyAlignment="1">
      <alignment horizontal="center" vertical="top"/>
    </xf>
    <xf numFmtId="0" fontId="11" fillId="12" borderId="0" xfId="3" applyFont="1" applyFill="1" applyAlignment="1">
      <alignment vertical="top" wrapText="1"/>
    </xf>
    <xf numFmtId="41" fontId="11" fillId="12" borderId="0" xfId="0" applyNumberFormat="1" applyFont="1" applyFill="1" applyAlignment="1">
      <alignment horizontal="center" vertical="top"/>
    </xf>
    <xf numFmtId="41" fontId="12" fillId="0" borderId="0" xfId="3" applyNumberFormat="1" applyFont="1" applyAlignment="1">
      <alignment horizontal="center" vertical="top"/>
    </xf>
    <xf numFmtId="0" fontId="24" fillId="0" borderId="0" xfId="0" applyFont="1"/>
    <xf numFmtId="0" fontId="25" fillId="0" borderId="0" xfId="0" applyFont="1"/>
    <xf numFmtId="0" fontId="8" fillId="2" borderId="1" xfId="0" applyFont="1" applyFill="1" applyBorder="1"/>
    <xf numFmtId="0" fontId="5" fillId="0" borderId="2" xfId="0" applyFont="1" applyBorder="1" applyAlignment="1">
      <alignment horizontal="center"/>
    </xf>
    <xf numFmtId="0" fontId="26" fillId="0" borderId="4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8" fillId="0" borderId="20" xfId="0" applyFont="1" applyBorder="1"/>
    <xf numFmtId="0" fontId="8" fillId="0" borderId="9" xfId="0" applyFont="1" applyBorder="1"/>
    <xf numFmtId="0" fontId="5" fillId="0" borderId="4" xfId="0" applyFont="1" applyBorder="1"/>
    <xf numFmtId="9" fontId="5" fillId="2" borderId="0" xfId="0" applyNumberFormat="1" applyFont="1" applyFill="1" applyBorder="1" applyAlignment="1">
      <alignment horizontal="center"/>
    </xf>
    <xf numFmtId="0" fontId="24" fillId="5" borderId="22" xfId="0" applyFont="1" applyFill="1" applyBorder="1"/>
    <xf numFmtId="0" fontId="24" fillId="5" borderId="23" xfId="6" applyFont="1" applyFill="1" applyBorder="1" applyAlignment="1">
      <alignment horizontal="center" vertical="center" wrapText="1"/>
    </xf>
    <xf numFmtId="0" fontId="24" fillId="5" borderId="24" xfId="6" applyFont="1" applyFill="1" applyBorder="1" applyAlignment="1">
      <alignment horizontal="center" vertical="center" wrapText="1"/>
    </xf>
    <xf numFmtId="0" fontId="25" fillId="0" borderId="4" xfId="6" applyFont="1" applyBorder="1"/>
    <xf numFmtId="38" fontId="25" fillId="0" borderId="0" xfId="1" applyNumberFormat="1" applyFont="1" applyFill="1" applyBorder="1"/>
    <xf numFmtId="38" fontId="25" fillId="4" borderId="5" xfId="1" applyNumberFormat="1" applyFont="1" applyFill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24" fillId="0" borderId="25" xfId="6" applyFont="1" applyBorder="1"/>
    <xf numFmtId="38" fontId="24" fillId="0" borderId="26" xfId="1" applyNumberFormat="1" applyFont="1" applyFill="1" applyBorder="1"/>
    <xf numFmtId="38" fontId="24" fillId="8" borderId="27" xfId="1" applyNumberFormat="1" applyFont="1" applyFill="1" applyBorder="1"/>
    <xf numFmtId="0" fontId="24" fillId="0" borderId="0" xfId="6" applyFont="1"/>
    <xf numFmtId="38" fontId="24" fillId="0" borderId="0" xfId="1" applyNumberFormat="1" applyFont="1" applyFill="1"/>
    <xf numFmtId="0" fontId="25" fillId="0" borderId="4" xfId="0" applyFont="1" applyBorder="1" applyAlignment="1">
      <alignment wrapText="1"/>
    </xf>
    <xf numFmtId="38" fontId="25" fillId="0" borderId="0" xfId="1" applyNumberFormat="1" applyFont="1" applyBorder="1" applyAlignment="1">
      <alignment horizontal="center"/>
    </xf>
    <xf numFmtId="0" fontId="24" fillId="0" borderId="25" xfId="0" applyFont="1" applyBorder="1"/>
    <xf numFmtId="38" fontId="24" fillId="0" borderId="26" xfId="0" applyNumberFormat="1" applyFont="1" applyBorder="1"/>
    <xf numFmtId="38" fontId="24" fillId="0" borderId="27" xfId="0" applyNumberFormat="1" applyFont="1" applyBorder="1"/>
    <xf numFmtId="0" fontId="26" fillId="0" borderId="0" xfId="0" applyFont="1"/>
    <xf numFmtId="165" fontId="27" fillId="0" borderId="0" xfId="3" quotePrefix="1" applyNumberFormat="1" applyFont="1" applyAlignment="1" applyProtection="1">
      <alignment horizontal="left"/>
    </xf>
    <xf numFmtId="38" fontId="25" fillId="0" borderId="5" xfId="1" applyNumberFormat="1" applyFont="1" applyBorder="1" applyAlignment="1">
      <alignment horizontal="right"/>
    </xf>
    <xf numFmtId="0" fontId="28" fillId="0" borderId="0" xfId="0" applyFont="1" applyFill="1" applyAlignment="1" applyProtection="1">
      <alignment horizontal="left" vertical="center"/>
      <protection locked="0"/>
    </xf>
    <xf numFmtId="3" fontId="10" fillId="0" borderId="0" xfId="15" applyNumberFormat="1" applyBorder="1" applyAlignment="1">
      <alignment horizontal="center" vertical="center" wrapText="1"/>
    </xf>
    <xf numFmtId="167" fontId="10" fillId="0" borderId="0" xfId="15" applyNumberFormat="1" applyBorder="1" applyAlignment="1">
      <alignment horizontal="center" vertical="center" wrapText="1"/>
    </xf>
    <xf numFmtId="167" fontId="10" fillId="0" borderId="0" xfId="15" applyNumberFormat="1" applyFill="1" applyBorder="1" applyAlignment="1">
      <alignment horizontal="center" vertical="center" wrapText="1"/>
    </xf>
    <xf numFmtId="0" fontId="0" fillId="0" borderId="1" xfId="16" applyFont="1" applyFill="1" applyBorder="1" applyAlignment="1" applyProtection="1"/>
    <xf numFmtId="3" fontId="30" fillId="0" borderId="29" xfId="16" applyNumberFormat="1" applyFont="1" applyFill="1" applyBorder="1" applyAlignment="1" applyProtection="1">
      <alignment vertical="center"/>
      <protection locked="0"/>
    </xf>
    <xf numFmtId="0" fontId="0" fillId="0" borderId="4" xfId="17" applyFont="1" applyBorder="1" applyProtection="1">
      <alignment vertical="center"/>
    </xf>
    <xf numFmtId="3" fontId="30" fillId="0" borderId="30" xfId="16" applyNumberFormat="1" applyFont="1" applyFill="1" applyBorder="1" applyAlignment="1" applyProtection="1">
      <alignment vertical="center"/>
      <protection locked="0"/>
    </xf>
    <xf numFmtId="0" fontId="10" fillId="0" borderId="32" xfId="18" applyBorder="1" applyProtection="1">
      <alignment vertical="center"/>
    </xf>
    <xf numFmtId="3" fontId="10" fillId="8" borderId="30" xfId="16" applyNumberFormat="1" applyFont="1" applyFill="1" applyBorder="1" applyAlignment="1">
      <alignment vertical="center"/>
    </xf>
    <xf numFmtId="0" fontId="0" fillId="0" borderId="33" xfId="17" applyFont="1" applyBorder="1" applyProtection="1">
      <alignment vertical="center"/>
    </xf>
    <xf numFmtId="0" fontId="10" fillId="0" borderId="32" xfId="17" applyFont="1" applyBorder="1">
      <alignment vertical="center"/>
    </xf>
    <xf numFmtId="0" fontId="30" fillId="0" borderId="34" xfId="18" applyFont="1" applyBorder="1">
      <alignment vertical="center"/>
    </xf>
    <xf numFmtId="0" fontId="10" fillId="0" borderId="32" xfId="17" applyFont="1" applyBorder="1" applyProtection="1">
      <alignment vertical="center"/>
    </xf>
    <xf numFmtId="3" fontId="10" fillId="8" borderId="35" xfId="16" applyNumberFormat="1" applyFont="1" applyFill="1" applyBorder="1" applyAlignment="1">
      <alignment vertical="center"/>
    </xf>
    <xf numFmtId="0" fontId="10" fillId="0" borderId="34" xfId="17" applyFont="1" applyBorder="1" applyAlignment="1">
      <alignment vertical="top"/>
    </xf>
    <xf numFmtId="168" fontId="28" fillId="14" borderId="36" xfId="17" applyNumberFormat="1" applyFont="1" applyFill="1" applyBorder="1" applyAlignment="1" applyProtection="1">
      <alignment vertical="top"/>
      <protection locked="0"/>
    </xf>
    <xf numFmtId="3" fontId="28" fillId="14" borderId="36" xfId="17" applyNumberFormat="1" applyFont="1" applyFill="1" applyBorder="1" applyAlignment="1" applyProtection="1">
      <alignment vertical="top"/>
      <protection locked="0"/>
    </xf>
    <xf numFmtId="0" fontId="10" fillId="0" borderId="32" xfId="17" applyFont="1" applyBorder="1" applyAlignment="1">
      <alignment vertical="top"/>
    </xf>
    <xf numFmtId="10" fontId="0" fillId="0" borderId="0" xfId="0" applyNumberFormat="1"/>
    <xf numFmtId="10" fontId="5" fillId="0" borderId="0" xfId="0" applyNumberFormat="1" applyFont="1"/>
    <xf numFmtId="38" fontId="5" fillId="0" borderId="15" xfId="1" applyNumberFormat="1" applyFont="1" applyBorder="1" applyAlignment="1">
      <alignment horizontal="center"/>
    </xf>
    <xf numFmtId="38" fontId="5" fillId="0" borderId="18" xfId="1" applyNumberFormat="1" applyFont="1" applyBorder="1" applyAlignment="1">
      <alignment horizontal="center"/>
    </xf>
    <xf numFmtId="38" fontId="5" fillId="0" borderId="17" xfId="1" applyNumberFormat="1" applyFont="1" applyBorder="1" applyAlignment="1">
      <alignment horizontal="center"/>
    </xf>
    <xf numFmtId="38" fontId="5" fillId="0" borderId="8" xfId="1" applyNumberFormat="1" applyFont="1" applyBorder="1" applyAlignment="1">
      <alignment horizontal="center"/>
    </xf>
    <xf numFmtId="38" fontId="5" fillId="0" borderId="0" xfId="1" applyNumberFormat="1" applyFont="1"/>
    <xf numFmtId="38" fontId="14" fillId="0" borderId="0" xfId="1" applyNumberFormat="1" applyFont="1" applyAlignment="1"/>
    <xf numFmtId="38" fontId="8" fillId="0" borderId="0" xfId="1" applyNumberFormat="1" applyFont="1"/>
    <xf numFmtId="38" fontId="8" fillId="5" borderId="16" xfId="1" applyNumberFormat="1" applyFont="1" applyFill="1" applyBorder="1" applyAlignment="1">
      <alignment horizontal="center" vertical="center" wrapText="1"/>
    </xf>
    <xf numFmtId="38" fontId="8" fillId="5" borderId="3" xfId="1" applyNumberFormat="1" applyFont="1" applyFill="1" applyBorder="1" applyAlignment="1">
      <alignment horizontal="center" vertical="center" wrapText="1"/>
    </xf>
    <xf numFmtId="38" fontId="5" fillId="4" borderId="15" xfId="1" applyNumberFormat="1" applyFont="1" applyFill="1" applyBorder="1"/>
    <xf numFmtId="38" fontId="8" fillId="8" borderId="15" xfId="1" applyNumberFormat="1" applyFont="1" applyFill="1" applyBorder="1"/>
    <xf numFmtId="38" fontId="8" fillId="9" borderId="17" xfId="1" applyNumberFormat="1" applyFont="1" applyFill="1" applyBorder="1"/>
    <xf numFmtId="38" fontId="5" fillId="0" borderId="4" xfId="1" applyNumberFormat="1" applyFont="1" applyBorder="1"/>
    <xf numFmtId="38" fontId="5" fillId="0" borderId="5" xfId="1" applyNumberFormat="1" applyFont="1" applyBorder="1"/>
    <xf numFmtId="38" fontId="4" fillId="6" borderId="15" xfId="1" applyNumberFormat="1" applyFont="1" applyFill="1" applyBorder="1"/>
    <xf numFmtId="38" fontId="4" fillId="6" borderId="5" xfId="1" applyNumberFormat="1" applyFont="1" applyFill="1" applyBorder="1"/>
    <xf numFmtId="38" fontId="5" fillId="0" borderId="15" xfId="1" applyNumberFormat="1" applyFont="1" applyFill="1" applyBorder="1"/>
    <xf numFmtId="38" fontId="8" fillId="11" borderId="3" xfId="1" applyNumberFormat="1" applyFont="1" applyFill="1" applyBorder="1" applyAlignment="1">
      <alignment horizontal="right" vertical="top"/>
    </xf>
    <xf numFmtId="38" fontId="8" fillId="11" borderId="17" xfId="1" applyNumberFormat="1" applyFont="1" applyFill="1" applyBorder="1" applyAlignment="1">
      <alignment horizontal="center"/>
    </xf>
    <xf numFmtId="38" fontId="8" fillId="11" borderId="8" xfId="1" applyNumberFormat="1" applyFont="1" applyFill="1" applyBorder="1" applyAlignment="1">
      <alignment horizontal="center"/>
    </xf>
    <xf numFmtId="38" fontId="8" fillId="0" borderId="17" xfId="1" applyNumberFormat="1" applyFont="1" applyBorder="1" applyAlignment="1">
      <alignment horizontal="center"/>
    </xf>
    <xf numFmtId="38" fontId="8" fillId="0" borderId="8" xfId="1" applyNumberFormat="1" applyFont="1" applyBorder="1" applyAlignment="1">
      <alignment horizontal="center"/>
    </xf>
    <xf numFmtId="38" fontId="8" fillId="0" borderId="4" xfId="1" applyNumberFormat="1" applyFont="1" applyBorder="1" applyAlignment="1">
      <alignment horizontal="center"/>
    </xf>
    <xf numFmtId="38" fontId="8" fillId="0" borderId="5" xfId="1" applyNumberFormat="1" applyFont="1" applyBorder="1" applyAlignment="1">
      <alignment horizontal="center"/>
    </xf>
    <xf numFmtId="38" fontId="5" fillId="0" borderId="16" xfId="1" applyNumberFormat="1" applyFont="1" applyBorder="1"/>
    <xf numFmtId="38" fontId="5" fillId="0" borderId="3" xfId="1" applyNumberFormat="1" applyFont="1" applyBorder="1"/>
    <xf numFmtId="38" fontId="8" fillId="3" borderId="16" xfId="1" applyNumberFormat="1" applyFont="1" applyFill="1" applyBorder="1" applyAlignment="1">
      <alignment horizontal="center"/>
    </xf>
    <xf numFmtId="38" fontId="8" fillId="3" borderId="3" xfId="1" applyNumberFormat="1" applyFont="1" applyFill="1" applyBorder="1" applyAlignment="1">
      <alignment horizontal="center"/>
    </xf>
    <xf numFmtId="38" fontId="8" fillId="3" borderId="15" xfId="1" applyNumberFormat="1" applyFont="1" applyFill="1" applyBorder="1" applyAlignment="1">
      <alignment horizontal="center"/>
    </xf>
    <xf numFmtId="38" fontId="8" fillId="3" borderId="5" xfId="1" applyNumberFormat="1" applyFont="1" applyFill="1" applyBorder="1" applyAlignment="1">
      <alignment horizontal="center"/>
    </xf>
    <xf numFmtId="38" fontId="5" fillId="3" borderId="15" xfId="1" applyNumberFormat="1" applyFont="1" applyFill="1" applyBorder="1"/>
    <xf numFmtId="38" fontId="5" fillId="3" borderId="5" xfId="1" applyNumberFormat="1" applyFont="1" applyFill="1" applyBorder="1"/>
    <xf numFmtId="38" fontId="5" fillId="3" borderId="15" xfId="1" applyNumberFormat="1" applyFont="1" applyFill="1" applyBorder="1" applyAlignment="1">
      <alignment horizontal="center"/>
    </xf>
    <xf numFmtId="38" fontId="5" fillId="3" borderId="5" xfId="1" applyNumberFormat="1" applyFont="1" applyFill="1" applyBorder="1" applyAlignment="1">
      <alignment horizontal="center"/>
    </xf>
    <xf numFmtId="38" fontId="5" fillId="3" borderId="18" xfId="1" applyNumberFormat="1" applyFont="1" applyFill="1" applyBorder="1" applyAlignment="1">
      <alignment horizontal="center"/>
    </xf>
    <xf numFmtId="38" fontId="5" fillId="3" borderId="9" xfId="1" applyNumberFormat="1" applyFont="1" applyFill="1" applyBorder="1" applyAlignment="1">
      <alignment horizontal="center"/>
    </xf>
    <xf numFmtId="38" fontId="8" fillId="3" borderId="17" xfId="1" applyNumberFormat="1" applyFont="1" applyFill="1" applyBorder="1" applyAlignment="1">
      <alignment horizontal="center"/>
    </xf>
    <xf numFmtId="38" fontId="8" fillId="3" borderId="8" xfId="1" applyNumberFormat="1" applyFont="1" applyFill="1" applyBorder="1" applyAlignment="1">
      <alignment horizontal="center"/>
    </xf>
    <xf numFmtId="38" fontId="8" fillId="3" borderId="14" xfId="1" applyNumberFormat="1" applyFont="1" applyFill="1" applyBorder="1" applyAlignment="1">
      <alignment horizontal="center"/>
    </xf>
    <xf numFmtId="38" fontId="8" fillId="3" borderId="13" xfId="1" applyNumberFormat="1" applyFont="1" applyFill="1" applyBorder="1" applyAlignment="1">
      <alignment horizontal="center"/>
    </xf>
    <xf numFmtId="38" fontId="5" fillId="0" borderId="0" xfId="2" applyNumberFormat="1" applyFont="1"/>
    <xf numFmtId="0" fontId="32" fillId="0" borderId="4" xfId="0" applyFont="1" applyBorder="1" applyAlignment="1">
      <alignment wrapText="1"/>
    </xf>
    <xf numFmtId="165" fontId="34" fillId="0" borderId="0" xfId="3" quotePrefix="1" applyNumberFormat="1" applyFont="1" applyAlignment="1" applyProtection="1">
      <alignment horizontal="left"/>
    </xf>
    <xf numFmtId="38" fontId="8" fillId="0" borderId="0" xfId="0" applyNumberFormat="1" applyFont="1"/>
    <xf numFmtId="0" fontId="33" fillId="0" borderId="0" xfId="0" applyFont="1"/>
  </cellXfs>
  <cellStyles count="19">
    <cellStyle name="Band Top Rule" xfId="16"/>
    <cellStyle name="Comma" xfId="1" builtinId="3"/>
    <cellStyle name="Currency 2" xfId="5"/>
    <cellStyle name="Currency 3" xfId="13"/>
    <cellStyle name="Header 5" xfId="15"/>
    <cellStyle name="Hyperlink 2" xfId="10"/>
    <cellStyle name="Hyperlink 3" xfId="8"/>
    <cellStyle name="Hyperlink 4" xfId="7"/>
    <cellStyle name="Line Description" xfId="17"/>
    <cellStyle name="Normal" xfId="0" builtinId="0"/>
    <cellStyle name="Normal 2" xfId="3"/>
    <cellStyle name="Normal 2 2" xfId="6"/>
    <cellStyle name="Normal 2 2 2" xfId="9"/>
    <cellStyle name="Normal 2 3" xfId="11"/>
    <cellStyle name="Normal 3" xfId="12"/>
    <cellStyle name="Normal 3 2" xfId="14"/>
    <cellStyle name="Normal 5" xfId="4"/>
    <cellStyle name="Percent" xfId="2" builtinId="5"/>
    <cellStyle name="Total Hours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dor\group$\Users\dcorrea\Documents\26%20million%20proposal\In%20Finance%20Folder\NSF%20Form%201030%20Workpapers\Gemini%2026M%20Proposal%20Budget%20Reports%2020180517%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Complexity y IDC"/>
      <sheetName val="Total Proposal"/>
      <sheetName val="PMO Mgmt"/>
      <sheetName val="GNAO"/>
      <sheetName val="RTC"/>
      <sheetName val="OPS Sftw"/>
      <sheetName val="PIO"/>
      <sheetName val="Labor Detail by Project"/>
      <sheetName val="Labor by EE"/>
      <sheetName val="FTE by WBS"/>
    </sheetNames>
    <sheetDataSet>
      <sheetData sheetId="0"/>
      <sheetData sheetId="1">
        <row r="4">
          <cell r="C4">
            <v>0.22</v>
          </cell>
        </row>
        <row r="5">
          <cell r="C5">
            <v>0.22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58"/>
  <sheetViews>
    <sheetView tabSelected="1" topLeftCell="A13" zoomScale="85" zoomScaleNormal="85" workbookViewId="0">
      <selection activeCell="D50" sqref="D50"/>
    </sheetView>
  </sheetViews>
  <sheetFormatPr defaultRowHeight="14.4"/>
  <cols>
    <col min="1" max="1" width="3" style="95" bestFit="1" customWidth="1"/>
    <col min="2" max="2" width="43" style="95" customWidth="1"/>
    <col min="3" max="3" width="7.44140625" customWidth="1"/>
    <col min="4" max="6" width="12.6640625" style="95" bestFit="1" customWidth="1"/>
    <col min="7" max="16384" width="8.88671875" style="95"/>
  </cols>
  <sheetData>
    <row r="1" spans="1:6">
      <c r="B1" s="98" t="s">
        <v>106</v>
      </c>
    </row>
    <row r="2" spans="1:6" s="96" customFormat="1" ht="28.8">
      <c r="A2" s="99"/>
      <c r="B2" s="100"/>
      <c r="C2"/>
      <c r="D2" s="101" t="s">
        <v>103</v>
      </c>
      <c r="E2" s="101" t="s">
        <v>104</v>
      </c>
      <c r="F2" s="101" t="s">
        <v>105</v>
      </c>
    </row>
    <row r="3" spans="1:6">
      <c r="B3" s="98"/>
    </row>
    <row r="4" spans="1:6">
      <c r="A4" s="102"/>
      <c r="B4" s="103" t="s">
        <v>43</v>
      </c>
      <c r="D4" s="104"/>
      <c r="E4" s="104"/>
      <c r="F4" s="104"/>
    </row>
    <row r="5" spans="1:6">
      <c r="A5" s="102" t="s">
        <v>44</v>
      </c>
      <c r="B5" s="105" t="s">
        <v>45</v>
      </c>
      <c r="D5" s="97">
        <v>0</v>
      </c>
      <c r="E5" s="97"/>
      <c r="F5" s="97"/>
    </row>
    <row r="7" spans="1:6">
      <c r="A7" s="102" t="s">
        <v>46</v>
      </c>
      <c r="B7" s="105" t="s">
        <v>47</v>
      </c>
    </row>
    <row r="8" spans="1:6">
      <c r="A8" s="102"/>
      <c r="B8" s="105" t="s">
        <v>48</v>
      </c>
      <c r="D8" s="106"/>
      <c r="E8" s="106"/>
      <c r="F8" s="106"/>
    </row>
    <row r="9" spans="1:6">
      <c r="A9" s="102"/>
      <c r="B9" s="105" t="s">
        <v>49</v>
      </c>
      <c r="D9" s="106">
        <f>Summary!H10</f>
        <v>6838763.0499711949</v>
      </c>
      <c r="E9" s="106">
        <f>ROUND($D9/2,0)</f>
        <v>3419382</v>
      </c>
      <c r="F9" s="106">
        <f>D9-E9</f>
        <v>3419381.0499711949</v>
      </c>
    </row>
    <row r="10" spans="1:6">
      <c r="A10" s="102"/>
      <c r="B10" s="105" t="s">
        <v>50</v>
      </c>
      <c r="D10" s="106"/>
      <c r="E10" s="106"/>
      <c r="F10" s="106"/>
    </row>
    <row r="11" spans="1:6">
      <c r="A11" s="102"/>
      <c r="B11" s="105" t="s">
        <v>51</v>
      </c>
      <c r="D11" s="106"/>
      <c r="E11" s="106"/>
      <c r="F11" s="106"/>
    </row>
    <row r="12" spans="1:6">
      <c r="B12" s="105" t="s">
        <v>52</v>
      </c>
      <c r="D12" s="106"/>
      <c r="E12" s="106"/>
      <c r="F12" s="106"/>
    </row>
    <row r="13" spans="1:6">
      <c r="B13" s="107"/>
    </row>
    <row r="14" spans="1:6">
      <c r="A14" s="102"/>
      <c r="B14" s="108" t="s">
        <v>53</v>
      </c>
      <c r="D14" s="109">
        <f>SUM(D5:D13)</f>
        <v>6838763.0499711949</v>
      </c>
      <c r="E14" s="109">
        <f>ROUND($D14/2,0)</f>
        <v>3419382</v>
      </c>
      <c r="F14" s="109">
        <f t="shared" ref="F14:F51" si="0">D14-E14</f>
        <v>3419381.0499711949</v>
      </c>
    </row>
    <row r="15" spans="1:6">
      <c r="A15" s="110"/>
      <c r="B15" s="111"/>
      <c r="D15" s="106"/>
      <c r="E15" s="106"/>
      <c r="F15" s="106">
        <f t="shared" si="0"/>
        <v>0</v>
      </c>
    </row>
    <row r="16" spans="1:6">
      <c r="A16" s="102" t="s">
        <v>54</v>
      </c>
      <c r="B16" s="111" t="s">
        <v>55</v>
      </c>
      <c r="D16" s="106">
        <f>Summary!H11</f>
        <v>3841333.20516882</v>
      </c>
      <c r="E16" s="106">
        <f>ROUND($D16/2,0)</f>
        <v>1920667</v>
      </c>
      <c r="F16" s="106">
        <f t="shared" si="0"/>
        <v>1920666.20516882</v>
      </c>
    </row>
    <row r="17" spans="1:6">
      <c r="A17" s="112"/>
      <c r="B17" s="111"/>
    </row>
    <row r="18" spans="1:6">
      <c r="A18" s="102"/>
      <c r="B18" s="113" t="s">
        <v>56</v>
      </c>
      <c r="D18" s="114">
        <f>+D14+D16</f>
        <v>10680096.255140014</v>
      </c>
      <c r="E18" s="114">
        <f t="shared" ref="E18:F18" si="1">+E14+E16</f>
        <v>5340049</v>
      </c>
      <c r="F18" s="114">
        <f t="shared" si="1"/>
        <v>5340047.2551400149</v>
      </c>
    </row>
    <row r="19" spans="1:6">
      <c r="A19" s="102"/>
      <c r="B19" s="115">
        <v>0</v>
      </c>
      <c r="D19" s="116"/>
      <c r="E19" s="116"/>
      <c r="F19" s="116">
        <f t="shared" si="0"/>
        <v>0</v>
      </c>
    </row>
    <row r="20" spans="1:6" ht="28.8">
      <c r="A20" s="102" t="s">
        <v>57</v>
      </c>
      <c r="B20" s="117" t="s">
        <v>58</v>
      </c>
      <c r="D20" s="104">
        <v>0</v>
      </c>
      <c r="E20" s="104"/>
      <c r="F20" s="104">
        <f t="shared" si="0"/>
        <v>0</v>
      </c>
    </row>
    <row r="21" spans="1:6" ht="28.8">
      <c r="A21" s="102"/>
      <c r="B21" s="117" t="s">
        <v>59</v>
      </c>
      <c r="D21" s="104">
        <f>Summary!H13</f>
        <v>3305230.0512000001</v>
      </c>
      <c r="E21" s="104">
        <f>ROUND($D21/2,0)</f>
        <v>1652615</v>
      </c>
      <c r="F21" s="104">
        <f t="shared" si="0"/>
        <v>1652615.0512000001</v>
      </c>
    </row>
    <row r="22" spans="1:6">
      <c r="A22" s="118"/>
      <c r="B22" s="119" t="s">
        <v>60</v>
      </c>
      <c r="D22" s="114">
        <f>+D20+D21</f>
        <v>3305230.0512000001</v>
      </c>
      <c r="E22" s="114">
        <f>ROUND($D22/2,0)</f>
        <v>1652615</v>
      </c>
      <c r="F22" s="114">
        <f t="shared" si="0"/>
        <v>1652615.0512000001</v>
      </c>
    </row>
    <row r="23" spans="1:6">
      <c r="A23" s="102" t="s">
        <v>61</v>
      </c>
      <c r="B23" s="117" t="s">
        <v>62</v>
      </c>
      <c r="D23" s="120">
        <v>0</v>
      </c>
      <c r="E23" s="120"/>
      <c r="F23" s="120">
        <f t="shared" si="0"/>
        <v>0</v>
      </c>
    </row>
    <row r="24" spans="1:6" ht="28.8">
      <c r="A24" s="118"/>
      <c r="B24" s="105" t="s">
        <v>63</v>
      </c>
      <c r="D24" s="104">
        <f>Summary!H14</f>
        <v>401945.65</v>
      </c>
      <c r="E24" s="104">
        <f>ROUND($D24/2,0)</f>
        <v>200973</v>
      </c>
      <c r="F24" s="104">
        <f t="shared" si="0"/>
        <v>200972.65000000002</v>
      </c>
    </row>
    <row r="25" spans="1:6">
      <c r="A25" s="118"/>
      <c r="B25" s="105" t="s">
        <v>64</v>
      </c>
      <c r="D25" s="104">
        <f>Summary!H15</f>
        <v>541215.62</v>
      </c>
      <c r="E25" s="104">
        <f>ROUND($D25/2,0)</f>
        <v>270608</v>
      </c>
      <c r="F25" s="104">
        <f t="shared" si="0"/>
        <v>270607.62</v>
      </c>
    </row>
    <row r="26" spans="1:6">
      <c r="A26" s="118"/>
      <c r="B26" s="119" t="s">
        <v>65</v>
      </c>
      <c r="D26" s="114">
        <f>+D24+D25</f>
        <v>943161.27</v>
      </c>
      <c r="E26" s="114">
        <f t="shared" ref="E26:F26" si="2">+E24+E25</f>
        <v>471581</v>
      </c>
      <c r="F26" s="114">
        <f t="shared" si="2"/>
        <v>471580.27</v>
      </c>
    </row>
    <row r="27" spans="1:6">
      <c r="A27" s="118"/>
      <c r="B27" s="98"/>
      <c r="D27" s="104"/>
      <c r="E27" s="104"/>
      <c r="F27" s="104">
        <f t="shared" si="0"/>
        <v>0</v>
      </c>
    </row>
    <row r="28" spans="1:6">
      <c r="A28" s="102" t="s">
        <v>66</v>
      </c>
      <c r="B28" s="105" t="s">
        <v>67</v>
      </c>
      <c r="D28" s="104"/>
      <c r="E28" s="104"/>
      <c r="F28" s="104">
        <f t="shared" si="0"/>
        <v>0</v>
      </c>
    </row>
    <row r="29" spans="1:6">
      <c r="A29" s="102"/>
      <c r="B29" s="105" t="s">
        <v>68</v>
      </c>
    </row>
    <row r="30" spans="1:6">
      <c r="A30" s="102"/>
      <c r="B30" s="105" t="s">
        <v>69</v>
      </c>
      <c r="D30" s="104">
        <v>0</v>
      </c>
      <c r="E30" s="104"/>
      <c r="F30" s="104">
        <f t="shared" si="0"/>
        <v>0</v>
      </c>
    </row>
    <row r="31" spans="1:6">
      <c r="A31" s="102"/>
      <c r="B31" s="105" t="s">
        <v>70</v>
      </c>
      <c r="D31" s="104"/>
      <c r="E31" s="104"/>
      <c r="F31" s="104">
        <f t="shared" si="0"/>
        <v>0</v>
      </c>
    </row>
    <row r="32" spans="1:6">
      <c r="A32" s="102"/>
      <c r="B32" s="105" t="s">
        <v>71</v>
      </c>
      <c r="D32" s="104"/>
      <c r="E32" s="104"/>
      <c r="F32" s="104">
        <f t="shared" si="0"/>
        <v>0</v>
      </c>
    </row>
    <row r="33" spans="1:6">
      <c r="A33" s="102"/>
      <c r="B33" s="105" t="s">
        <v>72</v>
      </c>
      <c r="D33" s="104"/>
      <c r="E33" s="104"/>
      <c r="F33" s="104">
        <f t="shared" si="0"/>
        <v>0</v>
      </c>
    </row>
    <row r="34" spans="1:6">
      <c r="A34" s="118"/>
      <c r="B34" s="119" t="s">
        <v>73</v>
      </c>
      <c r="D34" s="114">
        <f>SUM(D30:D33)</f>
        <v>0</v>
      </c>
      <c r="E34" s="114"/>
      <c r="F34" s="114">
        <f t="shared" si="0"/>
        <v>0</v>
      </c>
    </row>
    <row r="35" spans="1:6">
      <c r="A35" s="102"/>
      <c r="B35" s="105"/>
      <c r="D35" s="104"/>
      <c r="E35" s="104"/>
      <c r="F35" s="104">
        <f t="shared" si="0"/>
        <v>0</v>
      </c>
    </row>
    <row r="36" spans="1:6">
      <c r="A36" s="102" t="s">
        <v>74</v>
      </c>
      <c r="B36" s="117" t="s">
        <v>75</v>
      </c>
      <c r="D36" s="118"/>
      <c r="E36" s="118"/>
      <c r="F36" s="118"/>
    </row>
    <row r="37" spans="1:6">
      <c r="A37" s="121"/>
      <c r="B37" s="117" t="s">
        <v>76</v>
      </c>
      <c r="D37" s="122">
        <f>Summary!H18</f>
        <v>191313.93000000017</v>
      </c>
      <c r="E37" s="122">
        <f>ROUND($D37/2,0)</f>
        <v>95657</v>
      </c>
      <c r="F37" s="122">
        <f t="shared" si="0"/>
        <v>95656.930000000168</v>
      </c>
    </row>
    <row r="38" spans="1:6" ht="28.8">
      <c r="A38" s="121"/>
      <c r="B38" s="117" t="s">
        <v>77</v>
      </c>
      <c r="D38" s="122">
        <v>0</v>
      </c>
      <c r="E38" s="122">
        <f>ROUND($D38/2,0)</f>
        <v>0</v>
      </c>
      <c r="F38" s="122">
        <f t="shared" si="0"/>
        <v>0</v>
      </c>
    </row>
    <row r="39" spans="1:6">
      <c r="A39" s="121"/>
      <c r="B39" s="117" t="s">
        <v>78</v>
      </c>
      <c r="D39" s="122">
        <f>Summary!H20</f>
        <v>24000</v>
      </c>
      <c r="E39" s="122">
        <f>ROUND($D39/2,0)</f>
        <v>12000</v>
      </c>
      <c r="F39" s="122">
        <f t="shared" si="0"/>
        <v>12000</v>
      </c>
    </row>
    <row r="40" spans="1:6">
      <c r="A40" s="121"/>
      <c r="B40" s="117" t="s">
        <v>79</v>
      </c>
      <c r="D40" s="123">
        <v>0</v>
      </c>
      <c r="E40" s="123"/>
      <c r="F40" s="123">
        <f t="shared" si="0"/>
        <v>0</v>
      </c>
    </row>
    <row r="41" spans="1:6">
      <c r="A41" s="124"/>
      <c r="B41" s="125" t="s">
        <v>80</v>
      </c>
      <c r="D41" s="126">
        <v>0</v>
      </c>
      <c r="E41" s="126">
        <f>ROUND($D41/2,0)</f>
        <v>0</v>
      </c>
      <c r="F41" s="126">
        <f t="shared" si="0"/>
        <v>0</v>
      </c>
    </row>
    <row r="42" spans="1:6">
      <c r="A42" s="124"/>
      <c r="B42" s="117" t="s">
        <v>81</v>
      </c>
      <c r="D42" s="122">
        <v>0</v>
      </c>
      <c r="E42" s="122"/>
      <c r="F42" s="122">
        <f t="shared" si="0"/>
        <v>0</v>
      </c>
    </row>
    <row r="43" spans="1:6">
      <c r="A43" s="121"/>
      <c r="B43" s="117" t="s">
        <v>82</v>
      </c>
      <c r="D43" s="127">
        <f>Summary!H23</f>
        <v>9350479.7359999996</v>
      </c>
      <c r="E43" s="127">
        <f>ROUND($D43/2,0)</f>
        <v>4675240</v>
      </c>
      <c r="F43" s="127">
        <f t="shared" si="0"/>
        <v>4675239.7359999996</v>
      </c>
    </row>
    <row r="44" spans="1:6">
      <c r="A44" s="121"/>
      <c r="B44" s="119" t="s">
        <v>83</v>
      </c>
      <c r="D44" s="114">
        <f>SUM(D37:D43)</f>
        <v>9565793.6659999993</v>
      </c>
      <c r="E44" s="114">
        <f t="shared" ref="E44:F44" si="3">SUM(E37:E43)</f>
        <v>4782897</v>
      </c>
      <c r="F44" s="114">
        <f t="shared" si="3"/>
        <v>4782896.6659999993</v>
      </c>
    </row>
    <row r="45" spans="1:6">
      <c r="A45" s="121"/>
      <c r="B45" s="108"/>
      <c r="D45" s="109"/>
      <c r="E45" s="109"/>
      <c r="F45" s="109">
        <f t="shared" si="0"/>
        <v>0</v>
      </c>
    </row>
    <row r="46" spans="1:6">
      <c r="A46" s="128" t="s">
        <v>84</v>
      </c>
      <c r="B46" s="129" t="s">
        <v>85</v>
      </c>
      <c r="D46" s="130">
        <f>+D18+D22+D26+D34+D44</f>
        <v>24494281.242340013</v>
      </c>
      <c r="E46" s="130">
        <f t="shared" ref="E46:F46" si="4">+E18+E22+E26+E34+E44</f>
        <v>12247142</v>
      </c>
      <c r="F46" s="130">
        <f t="shared" si="4"/>
        <v>12247139.242340013</v>
      </c>
    </row>
    <row r="47" spans="1:6">
      <c r="A47" s="102"/>
      <c r="B47" s="108"/>
      <c r="D47" s="104"/>
      <c r="E47" s="104"/>
      <c r="F47" s="104">
        <f t="shared" si="0"/>
        <v>0</v>
      </c>
    </row>
    <row r="48" spans="1:6">
      <c r="A48" s="128" t="s">
        <v>86</v>
      </c>
      <c r="B48" s="105" t="s">
        <v>87</v>
      </c>
      <c r="D48" s="131"/>
      <c r="E48" s="131"/>
      <c r="F48" s="131">
        <f t="shared" si="0"/>
        <v>0</v>
      </c>
    </row>
    <row r="49" spans="1:6">
      <c r="B49" s="88" t="s">
        <v>99</v>
      </c>
      <c r="D49" s="132">
        <f>'Summary by WBS w IDC MTDC'!I61</f>
        <v>630360</v>
      </c>
      <c r="E49" s="132">
        <f>ROUND($D49/2,0)</f>
        <v>315180</v>
      </c>
      <c r="F49" s="132">
        <f t="shared" si="0"/>
        <v>315180</v>
      </c>
    </row>
    <row r="50" spans="1:6">
      <c r="B50" s="88" t="s">
        <v>100</v>
      </c>
      <c r="D50" s="132">
        <f>'Summary by WBS w IDC MTDC'!I62</f>
        <v>849477</v>
      </c>
      <c r="E50" s="132">
        <f>ROUND($D50/2,0)</f>
        <v>424739</v>
      </c>
      <c r="F50" s="132">
        <f t="shared" si="0"/>
        <v>424738</v>
      </c>
    </row>
    <row r="51" spans="1:6">
      <c r="D51" s="133"/>
      <c r="E51" s="133"/>
      <c r="F51" s="133">
        <f t="shared" si="0"/>
        <v>0</v>
      </c>
    </row>
    <row r="52" spans="1:6">
      <c r="A52" s="102" t="s">
        <v>88</v>
      </c>
      <c r="B52" s="134" t="s">
        <v>89</v>
      </c>
      <c r="D52" s="135">
        <f>SUM(D46:D50)</f>
        <v>25974118.242340013</v>
      </c>
      <c r="E52" s="135">
        <f t="shared" ref="E52:F52" si="5">SUM(E46:E50)</f>
        <v>12987061</v>
      </c>
      <c r="F52" s="135">
        <f t="shared" si="5"/>
        <v>12987057.242340013</v>
      </c>
    </row>
    <row r="53" spans="1:6">
      <c r="B53" s="105"/>
    </row>
    <row r="54" spans="1:6">
      <c r="A54" s="128" t="s">
        <v>90</v>
      </c>
      <c r="B54" s="105" t="s">
        <v>91</v>
      </c>
      <c r="D54" s="131">
        <v>0</v>
      </c>
      <c r="E54" s="131"/>
      <c r="F54" s="131"/>
    </row>
    <row r="55" spans="1:6">
      <c r="A55" s="128"/>
      <c r="D55" s="131"/>
      <c r="E55" s="131"/>
      <c r="F55" s="131"/>
    </row>
    <row r="56" spans="1:6">
      <c r="A56" s="128" t="s">
        <v>92</v>
      </c>
      <c r="B56" s="105" t="s">
        <v>93</v>
      </c>
      <c r="D56" s="131">
        <v>0</v>
      </c>
      <c r="E56" s="131"/>
      <c r="F56" s="131"/>
    </row>
    <row r="58" spans="1:6">
      <c r="A58" s="128" t="s">
        <v>94</v>
      </c>
      <c r="B58" s="105" t="s">
        <v>95</v>
      </c>
      <c r="D58" s="136">
        <v>0</v>
      </c>
      <c r="E58" s="136"/>
      <c r="F58" s="1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75"/>
  <sheetViews>
    <sheetView topLeftCell="A31" workbookViewId="0">
      <selection activeCell="F61" sqref="F61"/>
    </sheetView>
  </sheetViews>
  <sheetFormatPr defaultColWidth="8.88671875" defaultRowHeight="14.4"/>
  <cols>
    <col min="1" max="1" width="5.33203125" style="1" bestFit="1" customWidth="1"/>
    <col min="2" max="2" width="22.77734375" style="1" customWidth="1"/>
    <col min="3" max="3" width="13.109375" style="24" bestFit="1" customWidth="1"/>
    <col min="4" max="5" width="11.6640625" style="1" bestFit="1" customWidth="1"/>
    <col min="6" max="6" width="11.33203125" style="1" bestFit="1" customWidth="1"/>
    <col min="7" max="8" width="11.6640625" style="1" bestFit="1" customWidth="1"/>
    <col min="9" max="9" width="13.5546875" style="1" bestFit="1" customWidth="1"/>
    <col min="10" max="10" width="2.21875" style="1" customWidth="1"/>
    <col min="11" max="11" width="21.21875" style="195" customWidth="1"/>
    <col min="12" max="12" width="12" style="195" bestFit="1" customWidth="1"/>
    <col min="13" max="13" width="6.21875" customWidth="1"/>
    <col min="14" max="14" width="16.6640625" style="3" bestFit="1" customWidth="1"/>
    <col min="15" max="15" width="11.21875" style="3" bestFit="1" customWidth="1"/>
    <col min="16" max="16384" width="8.88671875" style="1"/>
  </cols>
  <sheetData>
    <row r="1" spans="2:15">
      <c r="B1" s="23" t="s">
        <v>21</v>
      </c>
    </row>
    <row r="3" spans="2:15">
      <c r="B3" s="89" t="s">
        <v>22</v>
      </c>
      <c r="C3" s="90" t="s">
        <v>23</v>
      </c>
      <c r="D3"/>
    </row>
    <row r="4" spans="2:15">
      <c r="B4" s="1" t="s">
        <v>25</v>
      </c>
      <c r="C4" s="25">
        <v>0.22</v>
      </c>
    </row>
    <row r="5" spans="2:15">
      <c r="B5" s="1" t="s">
        <v>0</v>
      </c>
      <c r="C5" s="25">
        <v>0.22</v>
      </c>
    </row>
    <row r="6" spans="2:15">
      <c r="B6" s="1" t="s">
        <v>27</v>
      </c>
      <c r="C6" s="25">
        <v>0.24</v>
      </c>
    </row>
    <row r="7" spans="2:15">
      <c r="B7" s="1" t="s">
        <v>28</v>
      </c>
      <c r="C7" s="24" t="s">
        <v>29</v>
      </c>
    </row>
    <row r="9" spans="2:15">
      <c r="B9" s="167" t="s">
        <v>115</v>
      </c>
    </row>
    <row r="10" spans="2:15">
      <c r="B10" s="26"/>
    </row>
    <row r="11" spans="2:15" s="52" customFormat="1" ht="15.6">
      <c r="B11" s="51" t="s">
        <v>42</v>
      </c>
      <c r="K11" s="196"/>
      <c r="L11" s="196"/>
      <c r="M11"/>
      <c r="N11" s="196"/>
      <c r="O11" s="196"/>
    </row>
    <row r="12" spans="2:15" ht="15" thickBot="1">
      <c r="B12" s="168">
        <v>43608</v>
      </c>
      <c r="C12" s="1"/>
      <c r="K12" s="197" t="s">
        <v>96</v>
      </c>
      <c r="N12" s="234" t="s">
        <v>155</v>
      </c>
    </row>
    <row r="13" spans="2:15" ht="31.8" customHeight="1">
      <c r="B13" s="27" t="s">
        <v>4</v>
      </c>
      <c r="C13" s="28" t="s">
        <v>5</v>
      </c>
      <c r="D13" s="28" t="s">
        <v>6</v>
      </c>
      <c r="E13" s="28" t="s">
        <v>7</v>
      </c>
      <c r="F13" s="28" t="s">
        <v>8</v>
      </c>
      <c r="G13" s="28" t="s">
        <v>9</v>
      </c>
      <c r="H13" s="28" t="s">
        <v>10</v>
      </c>
      <c r="I13" s="29" t="s">
        <v>11</v>
      </c>
      <c r="K13" s="198" t="s">
        <v>97</v>
      </c>
      <c r="L13" s="199" t="s">
        <v>41</v>
      </c>
      <c r="N13" s="198" t="s">
        <v>149</v>
      </c>
      <c r="O13" s="199" t="s">
        <v>41</v>
      </c>
    </row>
    <row r="14" spans="2:15">
      <c r="B14" s="8" t="s">
        <v>14</v>
      </c>
      <c r="C14" s="9">
        <v>271616.01999999996</v>
      </c>
      <c r="D14" s="9">
        <v>246306.61</v>
      </c>
      <c r="E14" s="9">
        <v>246635.82</v>
      </c>
      <c r="F14" s="9">
        <v>254034.9</v>
      </c>
      <c r="G14" s="9">
        <v>260653.43</v>
      </c>
      <c r="H14" s="9">
        <v>284178.69</v>
      </c>
      <c r="I14" s="10">
        <f>SUM(C14:H14)</f>
        <v>1563425.47</v>
      </c>
      <c r="K14" s="200">
        <v>2741856.3193053119</v>
      </c>
      <c r="L14" s="10">
        <f>+K14-I14</f>
        <v>1178430.8493053119</v>
      </c>
      <c r="N14" s="200">
        <v>1652741</v>
      </c>
      <c r="O14" s="10">
        <f>+N14-I14</f>
        <v>89315.530000000028</v>
      </c>
    </row>
    <row r="15" spans="2:15">
      <c r="B15" s="15" t="s">
        <v>15</v>
      </c>
      <c r="C15" s="16">
        <v>64381.770000000004</v>
      </c>
      <c r="D15" s="16">
        <v>79457.81</v>
      </c>
      <c r="E15" s="16">
        <v>29678.81</v>
      </c>
      <c r="F15" s="16">
        <v>34252.409999999996</v>
      </c>
      <c r="G15" s="16">
        <v>65598.13</v>
      </c>
      <c r="H15" s="16">
        <v>68066.14</v>
      </c>
      <c r="I15" s="17">
        <f t="shared" ref="I15:I18" si="0">SUM(C15:H15)</f>
        <v>341435.07000000007</v>
      </c>
      <c r="K15" s="201">
        <v>17748</v>
      </c>
      <c r="L15" s="17">
        <f t="shared" ref="L15:L65" si="1">+K15-I15</f>
        <v>-323687.07000000007</v>
      </c>
      <c r="N15" s="201">
        <v>230836</v>
      </c>
      <c r="O15" s="17">
        <f t="shared" ref="O15:O18" si="2">+N15-I15</f>
        <v>-110599.07000000007</v>
      </c>
    </row>
    <row r="16" spans="2:15">
      <c r="B16" s="15" t="s">
        <v>16</v>
      </c>
      <c r="C16" s="16">
        <v>112074.58600000002</v>
      </c>
      <c r="D16" s="16">
        <v>135074.68600000002</v>
      </c>
      <c r="E16" s="16">
        <v>62167.686000000031</v>
      </c>
      <c r="F16" s="16">
        <v>44683.686000000031</v>
      </c>
      <c r="G16" s="16">
        <v>114428.59300000001</v>
      </c>
      <c r="H16" s="16">
        <v>77756.693000000014</v>
      </c>
      <c r="I16" s="17">
        <f t="shared" si="0"/>
        <v>546185.93000000017</v>
      </c>
      <c r="K16" s="201">
        <v>0</v>
      </c>
      <c r="L16" s="17"/>
      <c r="N16" s="201">
        <v>545830</v>
      </c>
      <c r="O16" s="17">
        <f t="shared" si="2"/>
        <v>-355.93000000016764</v>
      </c>
    </row>
    <row r="17" spans="2:15">
      <c r="B17" s="8" t="s">
        <v>17</v>
      </c>
      <c r="C17" s="9">
        <f>SUM(C14:C16)</f>
        <v>448072.37599999999</v>
      </c>
      <c r="D17" s="9">
        <f t="shared" ref="D17:I17" si="3">SUM(D14:D16)</f>
        <v>460839.10600000003</v>
      </c>
      <c r="E17" s="9">
        <f t="shared" si="3"/>
        <v>338482.31600000005</v>
      </c>
      <c r="F17" s="9">
        <f t="shared" si="3"/>
        <v>332970.99600000004</v>
      </c>
      <c r="G17" s="9">
        <f t="shared" si="3"/>
        <v>440680.15299999999</v>
      </c>
      <c r="H17" s="9">
        <f t="shared" si="3"/>
        <v>430001.52300000004</v>
      </c>
      <c r="I17" s="9">
        <f t="shared" si="3"/>
        <v>2451046.4700000002</v>
      </c>
      <c r="K17" s="200">
        <v>2759604.3193053119</v>
      </c>
      <c r="L17" s="10">
        <f t="shared" si="1"/>
        <v>308557.84930531168</v>
      </c>
      <c r="N17" s="200">
        <f>SUM(N14:N16)</f>
        <v>2429407</v>
      </c>
      <c r="O17" s="10">
        <f t="shared" si="2"/>
        <v>-21639.470000000205</v>
      </c>
    </row>
    <row r="18" spans="2:15" ht="15" thickBot="1">
      <c r="B18" s="18" t="s">
        <v>18</v>
      </c>
      <c r="C18" s="19">
        <f>+C17</f>
        <v>448072.37599999999</v>
      </c>
      <c r="D18" s="19">
        <f t="shared" ref="D18:H18" si="4">+D17</f>
        <v>460839.10600000003</v>
      </c>
      <c r="E18" s="19">
        <f t="shared" si="4"/>
        <v>338482.31600000005</v>
      </c>
      <c r="F18" s="19">
        <f t="shared" si="4"/>
        <v>332970.99600000004</v>
      </c>
      <c r="G18" s="19">
        <f t="shared" si="4"/>
        <v>440680.15299999999</v>
      </c>
      <c r="H18" s="19">
        <f t="shared" si="4"/>
        <v>430001.52300000004</v>
      </c>
      <c r="I18" s="20">
        <f t="shared" si="0"/>
        <v>2451046.4700000002</v>
      </c>
      <c r="K18" s="202">
        <v>2759604.3193053119</v>
      </c>
      <c r="L18" s="20">
        <f t="shared" si="1"/>
        <v>308557.84930531168</v>
      </c>
      <c r="N18" s="202">
        <f>N17</f>
        <v>2429407</v>
      </c>
      <c r="O18" s="20">
        <f t="shared" si="2"/>
        <v>-21639.470000000205</v>
      </c>
    </row>
    <row r="19" spans="2:15" ht="15" thickBot="1">
      <c r="K19" s="203"/>
      <c r="L19" s="204">
        <f t="shared" si="1"/>
        <v>0</v>
      </c>
      <c r="N19" s="203"/>
      <c r="O19" s="204">
        <f t="shared" ref="O19:O54" si="5">+N19-L19</f>
        <v>0</v>
      </c>
    </row>
    <row r="20" spans="2:15" ht="28.2" customHeight="1">
      <c r="B20" s="27" t="s">
        <v>119</v>
      </c>
      <c r="C20" s="28" t="s">
        <v>5</v>
      </c>
      <c r="D20" s="28" t="s">
        <v>6</v>
      </c>
      <c r="E20" s="28" t="s">
        <v>7</v>
      </c>
      <c r="F20" s="28" t="s">
        <v>8</v>
      </c>
      <c r="G20" s="28" t="s">
        <v>9</v>
      </c>
      <c r="H20" s="28" t="s">
        <v>10</v>
      </c>
      <c r="I20" s="29" t="s">
        <v>11</v>
      </c>
      <c r="K20" s="198" t="s">
        <v>97</v>
      </c>
      <c r="L20" s="199" t="s">
        <v>41</v>
      </c>
      <c r="N20" s="198" t="s">
        <v>149</v>
      </c>
      <c r="O20" s="199" t="s">
        <v>41</v>
      </c>
    </row>
    <row r="21" spans="2:15">
      <c r="B21" s="8" t="s">
        <v>14</v>
      </c>
      <c r="C21" s="9">
        <f>762976+257107</f>
        <v>1020083</v>
      </c>
      <c r="D21" s="9">
        <v>1727686</v>
      </c>
      <c r="E21" s="9">
        <v>1675806</v>
      </c>
      <c r="F21" s="9">
        <v>1290969</v>
      </c>
      <c r="G21" s="9">
        <v>692329</v>
      </c>
      <c r="H21" s="9">
        <v>378612</v>
      </c>
      <c r="I21" s="10">
        <f t="shared" ref="I21:I25" si="6">SUM(C21:H21)</f>
        <v>6785485</v>
      </c>
      <c r="K21" s="200">
        <v>4833016.5235639652</v>
      </c>
      <c r="L21" s="10">
        <f t="shared" si="1"/>
        <v>-1952468.4764360348</v>
      </c>
      <c r="N21" s="200">
        <f>6820701+2654677</f>
        <v>9475378</v>
      </c>
      <c r="O21" s="10">
        <f t="shared" ref="O21:O26" si="7">+N21-I21</f>
        <v>2689893</v>
      </c>
    </row>
    <row r="22" spans="2:15">
      <c r="B22" s="11" t="s">
        <v>19</v>
      </c>
      <c r="C22" s="12"/>
      <c r="D22" s="12">
        <v>156160</v>
      </c>
      <c r="E22" s="12">
        <v>2768430</v>
      </c>
      <c r="F22" s="12">
        <v>380640</v>
      </c>
      <c r="G22" s="12"/>
      <c r="H22" s="12"/>
      <c r="I22" s="13">
        <f t="shared" si="6"/>
        <v>3305230</v>
      </c>
      <c r="K22" s="205">
        <v>1285913.7599999979</v>
      </c>
      <c r="L22" s="206">
        <f t="shared" si="1"/>
        <v>-2019316.2400000021</v>
      </c>
      <c r="N22" s="205">
        <v>1285914</v>
      </c>
      <c r="O22" s="206">
        <f t="shared" si="7"/>
        <v>-2019316</v>
      </c>
    </row>
    <row r="23" spans="2:15">
      <c r="B23" s="15" t="s">
        <v>15</v>
      </c>
      <c r="C23" s="16">
        <f>54157.71+6232</f>
        <v>60389.71</v>
      </c>
      <c r="D23" s="16">
        <v>102095.74</v>
      </c>
      <c r="E23" s="16">
        <v>88902.310000000012</v>
      </c>
      <c r="F23" s="16">
        <v>52796.670000000013</v>
      </c>
      <c r="G23" s="16">
        <v>29803.88</v>
      </c>
      <c r="H23" s="16">
        <v>53732.409999999996</v>
      </c>
      <c r="I23" s="17">
        <f t="shared" si="6"/>
        <v>387720.72000000003</v>
      </c>
      <c r="K23" s="201">
        <v>479912</v>
      </c>
      <c r="L23" s="17">
        <f t="shared" si="1"/>
        <v>92191.27999999997</v>
      </c>
      <c r="N23" s="201">
        <v>479912</v>
      </c>
      <c r="O23" s="17">
        <f t="shared" si="7"/>
        <v>92191.27999999997</v>
      </c>
    </row>
    <row r="24" spans="2:15">
      <c r="B24" s="11" t="s">
        <v>16</v>
      </c>
      <c r="C24" s="12">
        <f>25235.27+2288</f>
        <v>27523.27</v>
      </c>
      <c r="D24" s="12">
        <v>1205435</v>
      </c>
      <c r="E24" s="12">
        <v>1841129</v>
      </c>
      <c r="F24" s="12">
        <v>1911924</v>
      </c>
      <c r="G24" s="12">
        <v>2181702</v>
      </c>
      <c r="H24" s="12">
        <v>1601395</v>
      </c>
      <c r="I24" s="13">
        <f>SUM(C24:H24)</f>
        <v>8769108.2699999996</v>
      </c>
      <c r="K24" s="205">
        <v>10610208.925999999</v>
      </c>
      <c r="L24" s="206">
        <f t="shared" si="1"/>
        <v>1841100.6559999995</v>
      </c>
      <c r="N24" s="205">
        <f>6147611+1812000</f>
        <v>7959611</v>
      </c>
      <c r="O24" s="206">
        <f t="shared" si="7"/>
        <v>-809497.26999999955</v>
      </c>
    </row>
    <row r="25" spans="2:15">
      <c r="B25" s="8" t="s">
        <v>17</v>
      </c>
      <c r="C25" s="9">
        <f>SUM(C21:C24)</f>
        <v>1107995.98</v>
      </c>
      <c r="D25" s="9">
        <f t="shared" ref="D25:H25" si="8">SUM(D21:D24)</f>
        <v>3191376.74</v>
      </c>
      <c r="E25" s="9">
        <f t="shared" si="8"/>
        <v>6374267.3099999996</v>
      </c>
      <c r="F25" s="9">
        <f t="shared" si="8"/>
        <v>3636329.67</v>
      </c>
      <c r="G25" s="9">
        <f t="shared" si="8"/>
        <v>2903834.88</v>
      </c>
      <c r="H25" s="9">
        <f t="shared" si="8"/>
        <v>2033739.41</v>
      </c>
      <c r="I25" s="14">
        <f t="shared" si="6"/>
        <v>19247543.990000002</v>
      </c>
      <c r="K25" s="207">
        <v>17209051.209563963</v>
      </c>
      <c r="L25" s="14">
        <f t="shared" si="1"/>
        <v>-2038492.780436039</v>
      </c>
      <c r="N25" s="207">
        <f>SUM(N21:N24)</f>
        <v>19200815</v>
      </c>
      <c r="O25" s="14">
        <f t="shared" si="7"/>
        <v>-46728.990000002086</v>
      </c>
    </row>
    <row r="26" spans="2:15" ht="15" thickBot="1">
      <c r="B26" s="18" t="s">
        <v>18</v>
      </c>
      <c r="C26" s="19">
        <f>C25</f>
        <v>1107995.98</v>
      </c>
      <c r="D26" s="19">
        <f t="shared" ref="D26:H26" si="9">D25</f>
        <v>3191376.74</v>
      </c>
      <c r="E26" s="19">
        <f t="shared" si="9"/>
        <v>6374267.3099999996</v>
      </c>
      <c r="F26" s="19">
        <f t="shared" si="9"/>
        <v>3636329.67</v>
      </c>
      <c r="G26" s="19">
        <f t="shared" si="9"/>
        <v>2903834.88</v>
      </c>
      <c r="H26" s="19">
        <f t="shared" si="9"/>
        <v>2033739.41</v>
      </c>
      <c r="I26" s="20">
        <f>SUM(C26:H26)</f>
        <v>19247543.990000002</v>
      </c>
      <c r="K26" s="202">
        <v>17209051.209563963</v>
      </c>
      <c r="L26" s="20">
        <f t="shared" si="1"/>
        <v>-2038492.780436039</v>
      </c>
      <c r="N26" s="202">
        <f>N25</f>
        <v>19200815</v>
      </c>
      <c r="O26" s="20">
        <f t="shared" si="7"/>
        <v>-46728.990000002086</v>
      </c>
    </row>
    <row r="27" spans="2:15" ht="15" thickBot="1">
      <c r="K27" s="203"/>
      <c r="L27" s="204">
        <f t="shared" si="1"/>
        <v>0</v>
      </c>
      <c r="N27" s="203"/>
      <c r="O27" s="204">
        <f t="shared" si="5"/>
        <v>0</v>
      </c>
    </row>
    <row r="28" spans="2:15" ht="22.2" customHeight="1">
      <c r="B28" s="27" t="s">
        <v>148</v>
      </c>
      <c r="C28" s="28" t="s">
        <v>5</v>
      </c>
      <c r="D28" s="28" t="s">
        <v>6</v>
      </c>
      <c r="E28" s="28" t="s">
        <v>7</v>
      </c>
      <c r="F28" s="28" t="s">
        <v>8</v>
      </c>
      <c r="G28" s="28" t="s">
        <v>9</v>
      </c>
      <c r="H28" s="28" t="s">
        <v>10</v>
      </c>
      <c r="I28" s="29" t="s">
        <v>11</v>
      </c>
      <c r="K28" s="198" t="s">
        <v>97</v>
      </c>
      <c r="L28" s="199" t="s">
        <v>41</v>
      </c>
      <c r="N28" s="198" t="s">
        <v>149</v>
      </c>
      <c r="O28" s="199" t="s">
        <v>41</v>
      </c>
    </row>
    <row r="29" spans="2:15">
      <c r="B29" s="8" t="s">
        <v>14</v>
      </c>
      <c r="C29" s="9">
        <v>302824.05038023251</v>
      </c>
      <c r="D29" s="9">
        <v>824960.64500000002</v>
      </c>
      <c r="E29" s="9">
        <v>664398.78569767438</v>
      </c>
      <c r="F29" s="9">
        <v>203777.3518604651</v>
      </c>
      <c r="G29" s="9">
        <v>0</v>
      </c>
      <c r="H29" s="9">
        <v>0</v>
      </c>
      <c r="I29" s="10">
        <f>SUM(C29:H29)</f>
        <v>1995960.8329383719</v>
      </c>
      <c r="K29" s="200">
        <v>1779620.461215789</v>
      </c>
      <c r="L29" s="10">
        <f t="shared" si="1"/>
        <v>-216340.37172258296</v>
      </c>
      <c r="N29" s="200">
        <v>1987153</v>
      </c>
      <c r="O29" s="10">
        <f t="shared" ref="O29:O32" si="10">+N29-I29</f>
        <v>-8807.8329383719247</v>
      </c>
    </row>
    <row r="30" spans="2:15">
      <c r="B30" s="11" t="s">
        <v>15</v>
      </c>
      <c r="C30" s="12">
        <v>12442.98</v>
      </c>
      <c r="D30" s="12">
        <v>52673.840000000004</v>
      </c>
      <c r="E30" s="12">
        <v>40725.360000000001</v>
      </c>
      <c r="F30" s="12">
        <v>13614.48</v>
      </c>
      <c r="G30" s="12"/>
      <c r="H30" s="12"/>
      <c r="I30" s="13">
        <f t="shared" ref="I30:I32" si="11">SUM(C30:H30)</f>
        <v>119456.66</v>
      </c>
      <c r="K30" s="205">
        <v>120119</v>
      </c>
      <c r="L30" s="206">
        <f t="shared" si="1"/>
        <v>662.33999999999651</v>
      </c>
      <c r="N30" s="205">
        <v>120119</v>
      </c>
      <c r="O30" s="206">
        <f t="shared" si="10"/>
        <v>662.33999999999651</v>
      </c>
    </row>
    <row r="31" spans="2:15">
      <c r="B31" s="8" t="s">
        <v>17</v>
      </c>
      <c r="C31" s="9">
        <f>SUM(C29:C30)</f>
        <v>315267.03038023249</v>
      </c>
      <c r="D31" s="9">
        <f t="shared" ref="D31:I31" si="12">SUM(D29:D30)</f>
        <v>877634.48499999999</v>
      </c>
      <c r="E31" s="9">
        <f t="shared" si="12"/>
        <v>705124.14569767436</v>
      </c>
      <c r="F31" s="9">
        <f t="shared" si="12"/>
        <v>217391.83186046511</v>
      </c>
      <c r="G31" s="9">
        <f t="shared" si="12"/>
        <v>0</v>
      </c>
      <c r="H31" s="9">
        <f t="shared" si="12"/>
        <v>0</v>
      </c>
      <c r="I31" s="9">
        <f t="shared" si="12"/>
        <v>2115417.4929383718</v>
      </c>
      <c r="K31" s="200">
        <v>1899739.461215789</v>
      </c>
      <c r="L31" s="10">
        <f t="shared" si="1"/>
        <v>-215678.03172258288</v>
      </c>
      <c r="N31" s="200">
        <v>2107272</v>
      </c>
      <c r="O31" s="10">
        <f t="shared" si="10"/>
        <v>-8145.4929383718409</v>
      </c>
    </row>
    <row r="32" spans="2:15" ht="15" thickBot="1">
      <c r="B32" s="18" t="s">
        <v>18</v>
      </c>
      <c r="C32" s="19">
        <f>+C31</f>
        <v>315267.03038023249</v>
      </c>
      <c r="D32" s="19">
        <f t="shared" ref="D32:H32" si="13">+D31</f>
        <v>877634.48499999999</v>
      </c>
      <c r="E32" s="19">
        <f t="shared" si="13"/>
        <v>705124.14569767436</v>
      </c>
      <c r="F32" s="19">
        <f t="shared" si="13"/>
        <v>217391.83186046511</v>
      </c>
      <c r="G32" s="19">
        <f t="shared" si="13"/>
        <v>0</v>
      </c>
      <c r="H32" s="19">
        <f t="shared" si="13"/>
        <v>0</v>
      </c>
      <c r="I32" s="20">
        <f t="shared" si="11"/>
        <v>2115417.4929383718</v>
      </c>
      <c r="K32" s="202">
        <v>1899739.461215789</v>
      </c>
      <c r="L32" s="20">
        <f t="shared" si="1"/>
        <v>-215678.03172258288</v>
      </c>
      <c r="N32" s="202">
        <v>2107272</v>
      </c>
      <c r="O32" s="20">
        <f t="shared" si="10"/>
        <v>-8145.4929383718409</v>
      </c>
    </row>
    <row r="33" spans="1:15" ht="15" thickBot="1">
      <c r="K33" s="203"/>
      <c r="L33" s="204">
        <f t="shared" si="1"/>
        <v>0</v>
      </c>
      <c r="N33" s="203"/>
      <c r="O33" s="204">
        <f t="shared" si="5"/>
        <v>0</v>
      </c>
    </row>
    <row r="34" spans="1:15" ht="24">
      <c r="B34" s="27" t="s">
        <v>20</v>
      </c>
      <c r="C34" s="28" t="s">
        <v>5</v>
      </c>
      <c r="D34" s="28" t="s">
        <v>6</v>
      </c>
      <c r="E34" s="28" t="s">
        <v>7</v>
      </c>
      <c r="F34" s="28" t="s">
        <v>8</v>
      </c>
      <c r="G34" s="28" t="s">
        <v>9</v>
      </c>
      <c r="H34" s="28" t="s">
        <v>10</v>
      </c>
      <c r="I34" s="29" t="s">
        <v>11</v>
      </c>
      <c r="K34" s="198" t="s">
        <v>97</v>
      </c>
      <c r="L34" s="199" t="s">
        <v>41</v>
      </c>
      <c r="N34" s="198" t="s">
        <v>149</v>
      </c>
      <c r="O34" s="199" t="s">
        <v>41</v>
      </c>
    </row>
    <row r="35" spans="1:15">
      <c r="B35" s="8" t="s">
        <v>14</v>
      </c>
      <c r="C35" s="9">
        <v>70880.487743545877</v>
      </c>
      <c r="D35" s="9">
        <v>126409.71771364809</v>
      </c>
      <c r="E35" s="9">
        <v>125929.47422917433</v>
      </c>
      <c r="F35" s="9">
        <v>12004.884161708604</v>
      </c>
      <c r="G35" s="9">
        <v>0</v>
      </c>
      <c r="H35" s="9">
        <v>0</v>
      </c>
      <c r="I35" s="10">
        <f>SUM(C35:H35)</f>
        <v>335224.56384807685</v>
      </c>
      <c r="K35" s="200">
        <v>253605.33382340797</v>
      </c>
      <c r="L35" s="10">
        <f t="shared" si="1"/>
        <v>-81619.230024668883</v>
      </c>
      <c r="N35" s="200">
        <v>269667</v>
      </c>
      <c r="O35" s="10">
        <f t="shared" ref="O35:O41" si="14">+N35-I35</f>
        <v>-65557.563848076854</v>
      </c>
    </row>
    <row r="36" spans="1:15">
      <c r="B36" s="11" t="s">
        <v>15</v>
      </c>
      <c r="C36" s="12">
        <v>68701.229999999981</v>
      </c>
      <c r="D36" s="12">
        <v>19013.989999999998</v>
      </c>
      <c r="E36" s="12">
        <v>6833.6</v>
      </c>
      <c r="F36" s="12">
        <f>+PIO!E18</f>
        <v>0</v>
      </c>
      <c r="G36" s="12">
        <f>+PIO!F18</f>
        <v>0</v>
      </c>
      <c r="H36" s="12">
        <f>+PIO!G18</f>
        <v>0</v>
      </c>
      <c r="I36" s="13">
        <f t="shared" ref="I36:I39" si="15">SUM(C36:H36)</f>
        <v>94548.819999999978</v>
      </c>
      <c r="K36" s="205">
        <v>95098</v>
      </c>
      <c r="L36" s="206">
        <f t="shared" si="1"/>
        <v>549.18000000002212</v>
      </c>
      <c r="N36" s="205">
        <v>95098</v>
      </c>
      <c r="O36" s="206">
        <f t="shared" si="14"/>
        <v>549.18000000002212</v>
      </c>
    </row>
    <row r="37" spans="1:15">
      <c r="B37" s="11" t="s">
        <v>16</v>
      </c>
      <c r="C37" s="12">
        <v>20500</v>
      </c>
      <c r="D37" s="12">
        <v>213500</v>
      </c>
      <c r="E37" s="12">
        <v>15000</v>
      </c>
      <c r="F37" s="12">
        <v>1500</v>
      </c>
      <c r="G37" s="12">
        <v>0</v>
      </c>
      <c r="H37" s="12">
        <f>+PIO!G25</f>
        <v>0</v>
      </c>
      <c r="I37" s="13">
        <f t="shared" si="15"/>
        <v>250500</v>
      </c>
      <c r="K37" s="205">
        <v>315000</v>
      </c>
      <c r="L37" s="206">
        <f t="shared" si="1"/>
        <v>64500</v>
      </c>
      <c r="N37" s="205">
        <v>315000</v>
      </c>
      <c r="O37" s="206">
        <f t="shared" si="14"/>
        <v>64500</v>
      </c>
    </row>
    <row r="38" spans="1:15">
      <c r="B38" s="8" t="s">
        <v>17</v>
      </c>
      <c r="C38" s="9">
        <f>SUM(C35:C37)</f>
        <v>160081.71774354586</v>
      </c>
      <c r="D38" s="9">
        <f t="shared" ref="D38:I38" si="16">SUM(D35:D37)</f>
        <v>358923.70771364809</v>
      </c>
      <c r="E38" s="9">
        <f t="shared" si="16"/>
        <v>147763.07422917432</v>
      </c>
      <c r="F38" s="9">
        <f t="shared" si="16"/>
        <v>13504.884161708604</v>
      </c>
      <c r="G38" s="9">
        <f t="shared" si="16"/>
        <v>0</v>
      </c>
      <c r="H38" s="9">
        <f t="shared" si="16"/>
        <v>0</v>
      </c>
      <c r="I38" s="9">
        <f t="shared" si="16"/>
        <v>680273.3838480768</v>
      </c>
      <c r="K38" s="200">
        <v>663703.333823408</v>
      </c>
      <c r="L38" s="10">
        <f t="shared" si="1"/>
        <v>-16570.050024668803</v>
      </c>
      <c r="N38" s="200">
        <v>679765</v>
      </c>
      <c r="O38" s="10">
        <f t="shared" si="14"/>
        <v>-508.38384807680268</v>
      </c>
    </row>
    <row r="39" spans="1:15" ht="15" thickBot="1">
      <c r="B39" s="18" t="s">
        <v>18</v>
      </c>
      <c r="C39" s="19">
        <f>+C38</f>
        <v>160081.71774354586</v>
      </c>
      <c r="D39" s="19">
        <f t="shared" ref="D39:H39" si="17">+D38</f>
        <v>358923.70771364809</v>
      </c>
      <c r="E39" s="19">
        <f t="shared" si="17"/>
        <v>147763.07422917432</v>
      </c>
      <c r="F39" s="19">
        <f t="shared" si="17"/>
        <v>13504.884161708604</v>
      </c>
      <c r="G39" s="19">
        <f t="shared" si="17"/>
        <v>0</v>
      </c>
      <c r="H39" s="19">
        <f t="shared" si="17"/>
        <v>0</v>
      </c>
      <c r="I39" s="20">
        <f t="shared" si="15"/>
        <v>680273.38384807692</v>
      </c>
      <c r="K39" s="202">
        <v>663703.333823408</v>
      </c>
      <c r="L39" s="20">
        <f t="shared" si="1"/>
        <v>-16570.050024668919</v>
      </c>
      <c r="N39" s="202">
        <v>679765</v>
      </c>
      <c r="O39" s="20">
        <f t="shared" si="14"/>
        <v>-508.38384807691909</v>
      </c>
    </row>
    <row r="40" spans="1:15" ht="15" thickBot="1">
      <c r="K40" s="203"/>
      <c r="L40" s="204">
        <f t="shared" si="1"/>
        <v>0</v>
      </c>
      <c r="N40" s="203"/>
      <c r="O40" s="204">
        <f t="shared" si="5"/>
        <v>0</v>
      </c>
    </row>
    <row r="41" spans="1:15">
      <c r="A41" s="50"/>
      <c r="B41" s="82" t="s">
        <v>30</v>
      </c>
      <c r="C41" s="83">
        <f>C18+C26+C32+C39</f>
        <v>2031417.1041237782</v>
      </c>
      <c r="D41" s="83">
        <f t="shared" ref="D41:K41" si="18">D18+D26+D32+D39</f>
        <v>4888774.038713648</v>
      </c>
      <c r="E41" s="83">
        <f t="shared" si="18"/>
        <v>7565636.8459268482</v>
      </c>
      <c r="F41" s="83">
        <f t="shared" si="18"/>
        <v>4200197.3820221741</v>
      </c>
      <c r="G41" s="83">
        <f t="shared" si="18"/>
        <v>3344515.0329999998</v>
      </c>
      <c r="H41" s="83">
        <f t="shared" si="18"/>
        <v>2463740.9330000002</v>
      </c>
      <c r="I41" s="83">
        <f t="shared" si="18"/>
        <v>24494281.336786453</v>
      </c>
      <c r="J41" s="84"/>
      <c r="K41" s="83">
        <f t="shared" si="18"/>
        <v>22532098.323908474</v>
      </c>
      <c r="L41" s="208">
        <f>+K41-I41</f>
        <v>-1962183.0128779784</v>
      </c>
      <c r="N41" s="83">
        <f t="shared" ref="N41" si="19">N18+N26+N32+N39</f>
        <v>24417259</v>
      </c>
      <c r="O41" s="208">
        <f t="shared" si="14"/>
        <v>-77022.336786452681</v>
      </c>
    </row>
    <row r="42" spans="1:15" ht="15" thickBot="1">
      <c r="A42" s="50"/>
      <c r="B42" s="85"/>
      <c r="C42" s="86"/>
      <c r="D42" s="86"/>
      <c r="E42" s="86"/>
      <c r="F42" s="86"/>
      <c r="G42" s="86"/>
      <c r="H42" s="86"/>
      <c r="I42" s="87"/>
      <c r="J42" s="84"/>
      <c r="K42" s="209"/>
      <c r="L42" s="210">
        <f t="shared" si="1"/>
        <v>0</v>
      </c>
      <c r="N42" s="209"/>
      <c r="O42" s="210">
        <f t="shared" si="5"/>
        <v>0</v>
      </c>
    </row>
    <row r="43" spans="1:15" ht="15" thickBot="1">
      <c r="K43" s="203"/>
      <c r="L43" s="204">
        <f t="shared" si="1"/>
        <v>0</v>
      </c>
      <c r="N43" s="203"/>
      <c r="O43" s="204">
        <f t="shared" si="5"/>
        <v>0</v>
      </c>
    </row>
    <row r="44" spans="1:15">
      <c r="B44" s="31" t="s">
        <v>37</v>
      </c>
      <c r="C44" s="28" t="s">
        <v>5</v>
      </c>
      <c r="D44" s="28" t="s">
        <v>6</v>
      </c>
      <c r="E44" s="28" t="s">
        <v>7</v>
      </c>
      <c r="F44" s="28" t="s">
        <v>8</v>
      </c>
      <c r="G44" s="28" t="s">
        <v>9</v>
      </c>
      <c r="H44" s="28" t="s">
        <v>10</v>
      </c>
      <c r="I44" s="29" t="s">
        <v>11</v>
      </c>
      <c r="K44" s="198" t="s">
        <v>97</v>
      </c>
      <c r="L44" s="199" t="s">
        <v>41</v>
      </c>
      <c r="N44" s="198" t="s">
        <v>11</v>
      </c>
      <c r="O44" s="199" t="s">
        <v>41</v>
      </c>
    </row>
    <row r="45" spans="1:15" ht="36.6">
      <c r="B45" s="32" t="s">
        <v>118</v>
      </c>
      <c r="C45" s="33">
        <f>'IDC y MTDC'!B6</f>
        <v>25235</v>
      </c>
      <c r="D45" s="33">
        <f>'IDC y MTDC'!C6</f>
        <v>1198572</v>
      </c>
      <c r="E45" s="33">
        <f>'IDC y MTDC'!D6</f>
        <v>1834266</v>
      </c>
      <c r="F45" s="33">
        <f>'IDC y MTDC'!E6</f>
        <v>1905061</v>
      </c>
      <c r="G45" s="33">
        <f>'IDC y MTDC'!F6</f>
        <v>2126042</v>
      </c>
      <c r="H45" s="33">
        <f>'IDC y MTDC'!G6</f>
        <v>1594532</v>
      </c>
      <c r="I45" s="34">
        <f>SUM(C45:H45)</f>
        <v>8683708</v>
      </c>
      <c r="K45" s="191">
        <v>10524808.925999999</v>
      </c>
      <c r="L45" s="45">
        <f t="shared" si="1"/>
        <v>1841100.925999999</v>
      </c>
      <c r="N45" s="191">
        <f>6062210+1812000</f>
        <v>7874210</v>
      </c>
      <c r="O45" s="45">
        <f t="shared" ref="O45:O46" si="20">+N45-I45</f>
        <v>-809498</v>
      </c>
    </row>
    <row r="46" spans="1:15" ht="24.6">
      <c r="B46" s="32" t="s">
        <v>1</v>
      </c>
      <c r="C46" s="33">
        <f>'IDC y MTDC'!B7</f>
        <v>0</v>
      </c>
      <c r="D46" s="33">
        <f>'IDC y MTDC'!C7</f>
        <v>207500</v>
      </c>
      <c r="E46" s="33">
        <f>'IDC y MTDC'!D7</f>
        <v>0</v>
      </c>
      <c r="F46" s="33">
        <f>'IDC y MTDC'!E7</f>
        <v>0</v>
      </c>
      <c r="G46" s="33">
        <f>'IDC y MTDC'!F7</f>
        <v>0</v>
      </c>
      <c r="H46" s="33">
        <f>'IDC y MTDC'!G7</f>
        <v>0</v>
      </c>
      <c r="I46" s="34">
        <f t="shared" ref="I46" si="21">SUM(C46:H46)</f>
        <v>207500</v>
      </c>
      <c r="K46" s="191">
        <v>303000</v>
      </c>
      <c r="L46" s="45">
        <f t="shared" si="1"/>
        <v>95500</v>
      </c>
      <c r="N46" s="191">
        <v>303000</v>
      </c>
      <c r="O46" s="45">
        <f t="shared" si="20"/>
        <v>95500</v>
      </c>
    </row>
    <row r="47" spans="1:15" ht="15" thickBot="1">
      <c r="B47" s="35" t="s">
        <v>38</v>
      </c>
      <c r="C47" s="36">
        <f t="shared" ref="C47:I47" si="22">SUM(C45:C46)</f>
        <v>25235</v>
      </c>
      <c r="D47" s="36">
        <f t="shared" si="22"/>
        <v>1406072</v>
      </c>
      <c r="E47" s="36">
        <f t="shared" si="22"/>
        <v>1834266</v>
      </c>
      <c r="F47" s="36">
        <f t="shared" si="22"/>
        <v>1905061</v>
      </c>
      <c r="G47" s="36">
        <f t="shared" si="22"/>
        <v>2126042</v>
      </c>
      <c r="H47" s="36">
        <f t="shared" si="22"/>
        <v>1594532</v>
      </c>
      <c r="I47" s="37">
        <f t="shared" si="22"/>
        <v>8891208</v>
      </c>
      <c r="K47" s="211">
        <v>12639808.925999999</v>
      </c>
      <c r="L47" s="212">
        <f t="shared" si="1"/>
        <v>3748600.925999999</v>
      </c>
      <c r="N47" s="211">
        <f>SUM(N45:N46)</f>
        <v>8177210</v>
      </c>
      <c r="O47" s="212">
        <f>+N47-I47</f>
        <v>-713998</v>
      </c>
    </row>
    <row r="48" spans="1:15" ht="15" thickBot="1">
      <c r="B48" s="21"/>
      <c r="C48" s="38"/>
      <c r="D48" s="38"/>
      <c r="E48" s="38"/>
      <c r="F48" s="38"/>
      <c r="G48" s="38"/>
      <c r="H48" s="38"/>
      <c r="I48" s="38"/>
      <c r="K48" s="213"/>
      <c r="L48" s="214">
        <f t="shared" si="1"/>
        <v>0</v>
      </c>
      <c r="N48" s="213"/>
      <c r="O48" s="214">
        <f t="shared" si="5"/>
        <v>0</v>
      </c>
    </row>
    <row r="49" spans="1:15">
      <c r="B49" s="39" t="s">
        <v>39</v>
      </c>
      <c r="C49" s="40"/>
      <c r="D49" s="41"/>
      <c r="E49" s="42"/>
      <c r="F49" s="42"/>
      <c r="G49" s="42"/>
      <c r="H49" s="42"/>
      <c r="I49" s="43"/>
      <c r="K49" s="215"/>
      <c r="L49" s="216">
        <f t="shared" si="1"/>
        <v>0</v>
      </c>
      <c r="N49" s="215"/>
      <c r="O49" s="216">
        <f t="shared" si="5"/>
        <v>0</v>
      </c>
    </row>
    <row r="50" spans="1:15" ht="31.8">
      <c r="B50" s="232" t="s">
        <v>150</v>
      </c>
      <c r="C50" s="44">
        <f>'IDC y MTDC'!B11</f>
        <v>-235</v>
      </c>
      <c r="D50" s="44">
        <f>'IDC y MTDC'!C11</f>
        <v>-1123572</v>
      </c>
      <c r="E50" s="44">
        <f>'IDC y MTDC'!D11</f>
        <v>-1784266</v>
      </c>
      <c r="F50" s="44">
        <f>'IDC y MTDC'!E11</f>
        <v>-1855061</v>
      </c>
      <c r="G50" s="44">
        <f>'IDC y MTDC'!F11</f>
        <v>-2101042</v>
      </c>
      <c r="H50" s="44">
        <f>'IDC y MTDC'!G11</f>
        <v>-1569532</v>
      </c>
      <c r="I50" s="45">
        <f>SUM(C50:H50)</f>
        <v>-8433708</v>
      </c>
      <c r="K50" s="191">
        <v>-10374808.925999999</v>
      </c>
      <c r="L50" s="45">
        <f t="shared" si="1"/>
        <v>-1941100.925999999</v>
      </c>
      <c r="N50" s="191">
        <f>-5817778-1662000</f>
        <v>-7479778</v>
      </c>
      <c r="O50" s="45">
        <f t="shared" ref="O50:O52" si="23">+N50-I50</f>
        <v>953930</v>
      </c>
    </row>
    <row r="51" spans="1:15">
      <c r="B51" s="232" t="s">
        <v>151</v>
      </c>
      <c r="C51" s="44">
        <f>'IDC y MTDC'!B12</f>
        <v>0</v>
      </c>
      <c r="D51" s="44">
        <f>'IDC y MTDC'!C12</f>
        <v>-182500</v>
      </c>
      <c r="E51" s="44">
        <f>'IDC y MTDC'!D12</f>
        <v>0</v>
      </c>
      <c r="F51" s="44">
        <f>'IDC y MTDC'!E12</f>
        <v>0</v>
      </c>
      <c r="G51" s="44">
        <f>'IDC y MTDC'!F12</f>
        <v>0</v>
      </c>
      <c r="H51" s="44">
        <f>'IDC y MTDC'!G12</f>
        <v>0</v>
      </c>
      <c r="I51" s="46">
        <f t="shared" ref="I51" si="24">SUM(C51:H51)</f>
        <v>-182500</v>
      </c>
      <c r="K51" s="192">
        <v>-253000</v>
      </c>
      <c r="L51" s="46">
        <f t="shared" si="1"/>
        <v>-70500</v>
      </c>
      <c r="N51" s="192">
        <v>-233000</v>
      </c>
      <c r="O51" s="46">
        <f t="shared" si="23"/>
        <v>-50500</v>
      </c>
    </row>
    <row r="52" spans="1:15" ht="15" thickBot="1">
      <c r="B52" s="35" t="s">
        <v>98</v>
      </c>
      <c r="C52" s="47">
        <f t="shared" ref="C52:I52" si="25">SUM(C50:C51)</f>
        <v>-235</v>
      </c>
      <c r="D52" s="47">
        <f t="shared" si="25"/>
        <v>-1306072</v>
      </c>
      <c r="E52" s="47">
        <f t="shared" si="25"/>
        <v>-1784266</v>
      </c>
      <c r="F52" s="47">
        <f t="shared" si="25"/>
        <v>-1855061</v>
      </c>
      <c r="G52" s="47">
        <f t="shared" si="25"/>
        <v>-2101042</v>
      </c>
      <c r="H52" s="47">
        <f t="shared" si="25"/>
        <v>-1569532</v>
      </c>
      <c r="I52" s="48">
        <f t="shared" si="25"/>
        <v>-8616208</v>
      </c>
      <c r="K52" s="193">
        <v>-12289808.925999999</v>
      </c>
      <c r="L52" s="194">
        <f t="shared" si="1"/>
        <v>-3673600.925999999</v>
      </c>
      <c r="N52" s="193">
        <f>SUM(N50:N51)</f>
        <v>-7712778</v>
      </c>
      <c r="O52" s="194">
        <f t="shared" si="23"/>
        <v>903430</v>
      </c>
    </row>
    <row r="53" spans="1:15">
      <c r="K53" s="203"/>
      <c r="L53" s="204">
        <f t="shared" si="1"/>
        <v>0</v>
      </c>
      <c r="N53" s="203"/>
      <c r="O53" s="204">
        <f t="shared" si="5"/>
        <v>0</v>
      </c>
    </row>
    <row r="54" spans="1:15" ht="15" thickBot="1">
      <c r="K54" s="203"/>
      <c r="L54" s="204">
        <f t="shared" si="1"/>
        <v>0</v>
      </c>
      <c r="N54" s="203"/>
      <c r="O54" s="204">
        <f t="shared" si="5"/>
        <v>0</v>
      </c>
    </row>
    <row r="55" spans="1:15">
      <c r="A55" s="72"/>
      <c r="B55" s="66" t="s">
        <v>30</v>
      </c>
      <c r="C55" s="53">
        <f>+C18+C26+C32+C39</f>
        <v>2031417.1041237782</v>
      </c>
      <c r="D55" s="53">
        <f t="shared" ref="D55:I55" si="26">+D18+D26+D32+D39</f>
        <v>4888774.038713648</v>
      </c>
      <c r="E55" s="53">
        <f t="shared" si="26"/>
        <v>7565636.8459268482</v>
      </c>
      <c r="F55" s="53">
        <f t="shared" si="26"/>
        <v>4200197.3820221741</v>
      </c>
      <c r="G55" s="53">
        <f t="shared" si="26"/>
        <v>3344515.0329999998</v>
      </c>
      <c r="H55" s="53">
        <f t="shared" si="26"/>
        <v>2463740.9330000002</v>
      </c>
      <c r="I55" s="53">
        <f t="shared" si="26"/>
        <v>24494281.336786453</v>
      </c>
      <c r="K55" s="217">
        <v>24786893.652340949</v>
      </c>
      <c r="L55" s="218">
        <f t="shared" si="1"/>
        <v>292612.3155544959</v>
      </c>
      <c r="N55" s="217">
        <f t="shared" ref="N55" si="27">+N18+N26+N32+N39</f>
        <v>24417259</v>
      </c>
      <c r="O55" s="218">
        <f t="shared" ref="O55:O65" si="28">+N55-I55</f>
        <v>-77022.336786452681</v>
      </c>
    </row>
    <row r="56" spans="1:15" s="2" customFormat="1" ht="15" thickBot="1">
      <c r="A56" s="80"/>
      <c r="B56" s="81"/>
      <c r="C56" s="79">
        <f t="shared" ref="C56:I56" si="29">+C55-C41</f>
        <v>0</v>
      </c>
      <c r="D56" s="79">
        <f t="shared" si="29"/>
        <v>0</v>
      </c>
      <c r="E56" s="79">
        <f t="shared" si="29"/>
        <v>0</v>
      </c>
      <c r="F56" s="79">
        <f t="shared" si="29"/>
        <v>0</v>
      </c>
      <c r="G56" s="79">
        <f t="shared" si="29"/>
        <v>0</v>
      </c>
      <c r="H56" s="79">
        <f t="shared" si="29"/>
        <v>0</v>
      </c>
      <c r="I56" s="76">
        <f t="shared" si="29"/>
        <v>0</v>
      </c>
      <c r="K56" s="219">
        <v>0</v>
      </c>
      <c r="L56" s="220">
        <f t="shared" si="1"/>
        <v>0</v>
      </c>
      <c r="M56"/>
      <c r="N56" s="219">
        <v>0</v>
      </c>
      <c r="O56" s="220">
        <f t="shared" si="28"/>
        <v>0</v>
      </c>
    </row>
    <row r="57" spans="1:15">
      <c r="A57" s="72"/>
      <c r="B57" s="66" t="s">
        <v>31</v>
      </c>
      <c r="C57" s="53">
        <f t="shared" ref="C57:I57" si="30">C52</f>
        <v>-235</v>
      </c>
      <c r="D57" s="53">
        <f t="shared" si="30"/>
        <v>-1306072</v>
      </c>
      <c r="E57" s="53">
        <f t="shared" si="30"/>
        <v>-1784266</v>
      </c>
      <c r="F57" s="53">
        <f t="shared" si="30"/>
        <v>-1855061</v>
      </c>
      <c r="G57" s="53">
        <f t="shared" si="30"/>
        <v>-2101042</v>
      </c>
      <c r="H57" s="53">
        <f t="shared" si="30"/>
        <v>-1569532</v>
      </c>
      <c r="I57" s="54">
        <f t="shared" si="30"/>
        <v>-8616208</v>
      </c>
      <c r="K57" s="217">
        <v>-12289808.925999999</v>
      </c>
      <c r="L57" s="218">
        <f t="shared" si="1"/>
        <v>-3673600.925999999</v>
      </c>
      <c r="N57" s="217">
        <f>N52</f>
        <v>-7712778</v>
      </c>
      <c r="O57" s="218">
        <f t="shared" si="28"/>
        <v>903430</v>
      </c>
    </row>
    <row r="58" spans="1:15">
      <c r="A58" s="72"/>
      <c r="B58" s="75"/>
      <c r="C58" s="56"/>
      <c r="D58" s="56"/>
      <c r="E58" s="56"/>
      <c r="F58" s="56"/>
      <c r="G58" s="56"/>
      <c r="H58" s="56"/>
      <c r="I58" s="57"/>
      <c r="K58" s="219"/>
      <c r="L58" s="220">
        <f t="shared" si="1"/>
        <v>0</v>
      </c>
      <c r="N58" s="219"/>
      <c r="O58" s="220">
        <f t="shared" si="28"/>
        <v>0</v>
      </c>
    </row>
    <row r="59" spans="1:15">
      <c r="A59" s="72"/>
      <c r="B59" s="75" t="s">
        <v>32</v>
      </c>
      <c r="C59" s="56">
        <f>C55+C57</f>
        <v>2031182.1041237782</v>
      </c>
      <c r="D59" s="56">
        <f t="shared" ref="D59:I59" si="31">D55+D57</f>
        <v>3582702.038713648</v>
      </c>
      <c r="E59" s="56">
        <f t="shared" si="31"/>
        <v>5781370.8459268482</v>
      </c>
      <c r="F59" s="56">
        <f t="shared" si="31"/>
        <v>2345136.3820221741</v>
      </c>
      <c r="G59" s="56">
        <f t="shared" si="31"/>
        <v>1243473.0329999998</v>
      </c>
      <c r="H59" s="56">
        <f t="shared" si="31"/>
        <v>894208.93300000019</v>
      </c>
      <c r="I59" s="57">
        <f t="shared" si="31"/>
        <v>15878073.336786453</v>
      </c>
      <c r="K59" s="219">
        <v>12497084.72634095</v>
      </c>
      <c r="L59" s="220">
        <f t="shared" si="1"/>
        <v>-3380988.6104455031</v>
      </c>
      <c r="N59" s="219">
        <f>N55+N57</f>
        <v>16704481</v>
      </c>
      <c r="O59" s="220">
        <f t="shared" si="28"/>
        <v>826407.66321354732</v>
      </c>
    </row>
    <row r="60" spans="1:15">
      <c r="A60" s="72"/>
      <c r="B60" s="55"/>
      <c r="C60" s="59"/>
      <c r="D60" s="58"/>
      <c r="E60" s="58"/>
      <c r="F60" s="58"/>
      <c r="G60" s="58"/>
      <c r="H60" s="58"/>
      <c r="I60" s="60"/>
      <c r="K60" s="221"/>
      <c r="L60" s="222">
        <f t="shared" si="1"/>
        <v>0</v>
      </c>
      <c r="N60" s="221"/>
      <c r="O60" s="222">
        <f t="shared" si="28"/>
        <v>0</v>
      </c>
    </row>
    <row r="61" spans="1:15">
      <c r="A61" s="73">
        <v>3.9699999999999999E-2</v>
      </c>
      <c r="B61" s="75" t="s">
        <v>99</v>
      </c>
      <c r="C61" s="61">
        <f>ROUND(C59*$A$61,0)</f>
        <v>80638</v>
      </c>
      <c r="D61" s="61">
        <f t="shared" ref="D61:H61" si="32">ROUND(D59*$A$61,0)</f>
        <v>142233</v>
      </c>
      <c r="E61" s="61">
        <f t="shared" si="32"/>
        <v>229520</v>
      </c>
      <c r="F61" s="61">
        <f t="shared" si="32"/>
        <v>93102</v>
      </c>
      <c r="G61" s="61">
        <f t="shared" si="32"/>
        <v>49366</v>
      </c>
      <c r="H61" s="61">
        <f t="shared" si="32"/>
        <v>35500</v>
      </c>
      <c r="I61" s="62">
        <f>ROUND(I59*$A$61,0)</f>
        <v>630360</v>
      </c>
      <c r="K61" s="223">
        <v>461142</v>
      </c>
      <c r="L61" s="224">
        <f t="shared" si="1"/>
        <v>-169218</v>
      </c>
      <c r="N61" s="223">
        <f>N59*A61</f>
        <v>663167.89569999999</v>
      </c>
      <c r="O61" s="224">
        <f t="shared" si="28"/>
        <v>32807.895699999994</v>
      </c>
    </row>
    <row r="62" spans="1:15">
      <c r="A62" s="73">
        <v>5.3499999999999999E-2</v>
      </c>
      <c r="B62" s="75" t="s">
        <v>100</v>
      </c>
      <c r="C62" s="91">
        <f>ROUND(C59*$A$62,0)</f>
        <v>108668</v>
      </c>
      <c r="D62" s="91">
        <f t="shared" ref="D62:I62" si="33">ROUND(D59*$A$62,0)</f>
        <v>191675</v>
      </c>
      <c r="E62" s="91">
        <f t="shared" si="33"/>
        <v>309303</v>
      </c>
      <c r="F62" s="91">
        <f t="shared" si="33"/>
        <v>125465</v>
      </c>
      <c r="G62" s="91">
        <f t="shared" si="33"/>
        <v>66526</v>
      </c>
      <c r="H62" s="91">
        <f t="shared" si="33"/>
        <v>47840</v>
      </c>
      <c r="I62" s="63">
        <f t="shared" si="33"/>
        <v>849477</v>
      </c>
      <c r="K62" s="225">
        <v>726081</v>
      </c>
      <c r="L62" s="226">
        <f t="shared" si="1"/>
        <v>-123396</v>
      </c>
      <c r="N62" s="225">
        <f>N59*A62</f>
        <v>893689.73349999997</v>
      </c>
      <c r="O62" s="226">
        <f t="shared" si="28"/>
        <v>44212.733499999973</v>
      </c>
    </row>
    <row r="63" spans="1:15" ht="15" thickBot="1">
      <c r="A63" s="74"/>
      <c r="B63" s="68" t="s">
        <v>33</v>
      </c>
      <c r="C63" s="64">
        <f>SUM(C61:C62)</f>
        <v>189306</v>
      </c>
      <c r="D63" s="64">
        <f t="shared" ref="D63:I63" si="34">SUM(D61:D62)</f>
        <v>333908</v>
      </c>
      <c r="E63" s="64">
        <f t="shared" si="34"/>
        <v>538823</v>
      </c>
      <c r="F63" s="64">
        <f t="shared" si="34"/>
        <v>218567</v>
      </c>
      <c r="G63" s="64">
        <f t="shared" si="34"/>
        <v>115892</v>
      </c>
      <c r="H63" s="64">
        <f t="shared" si="34"/>
        <v>83340</v>
      </c>
      <c r="I63" s="65">
        <f t="shared" si="34"/>
        <v>1479837</v>
      </c>
      <c r="K63" s="227">
        <v>1187223</v>
      </c>
      <c r="L63" s="228">
        <f t="shared" si="1"/>
        <v>-292614</v>
      </c>
      <c r="N63" s="227">
        <f>SUM(N61:N62)</f>
        <v>1556857.6291999999</v>
      </c>
      <c r="O63" s="228">
        <f t="shared" si="28"/>
        <v>77020.62919999985</v>
      </c>
    </row>
    <row r="64" spans="1:15" ht="15" thickBot="1">
      <c r="A64" s="72"/>
      <c r="I64" s="30"/>
      <c r="J64" s="30"/>
      <c r="K64" s="203"/>
      <c r="L64" s="204">
        <f t="shared" si="1"/>
        <v>0</v>
      </c>
      <c r="N64" s="203"/>
      <c r="O64" s="204">
        <f t="shared" si="28"/>
        <v>0</v>
      </c>
    </row>
    <row r="65" spans="2:15" ht="15" thickBot="1">
      <c r="B65" s="70" t="s">
        <v>36</v>
      </c>
      <c r="C65" s="71">
        <f>C55+C63</f>
        <v>2220723.1041237782</v>
      </c>
      <c r="D65" s="71">
        <f t="shared" ref="D65:I65" si="35">D55+D63</f>
        <v>5222682.038713648</v>
      </c>
      <c r="E65" s="71">
        <f t="shared" si="35"/>
        <v>8104459.8459268482</v>
      </c>
      <c r="F65" s="71">
        <f t="shared" si="35"/>
        <v>4418764.3820221741</v>
      </c>
      <c r="G65" s="71">
        <f t="shared" si="35"/>
        <v>3460407.0329999998</v>
      </c>
      <c r="H65" s="71">
        <f t="shared" si="35"/>
        <v>2547080.9330000002</v>
      </c>
      <c r="I65" s="77">
        <f t="shared" si="35"/>
        <v>25974118.336786453</v>
      </c>
      <c r="J65" s="30"/>
      <c r="K65" s="229">
        <v>25974116.652340949</v>
      </c>
      <c r="L65" s="230">
        <f t="shared" si="1"/>
        <v>-1.6844455040991306</v>
      </c>
      <c r="N65" s="229">
        <f t="shared" ref="N65" si="36">N55+N63</f>
        <v>25974116.6292</v>
      </c>
      <c r="O65" s="230">
        <f t="shared" si="28"/>
        <v>-1.7075864523649216</v>
      </c>
    </row>
    <row r="66" spans="2:15" ht="15" thickBot="1">
      <c r="N66" s="4"/>
      <c r="O66" s="4"/>
    </row>
    <row r="67" spans="2:15">
      <c r="B67" s="66" t="s">
        <v>34</v>
      </c>
      <c r="C67" s="67">
        <v>26000000</v>
      </c>
    </row>
    <row r="68" spans="2:15" ht="15" thickBot="1">
      <c r="B68" s="68" t="s">
        <v>35</v>
      </c>
      <c r="C68" s="69">
        <f>C67-I65</f>
        <v>25881.663213547319</v>
      </c>
      <c r="I68" s="30"/>
    </row>
    <row r="69" spans="2:15">
      <c r="C69" s="1"/>
      <c r="L69" s="231"/>
    </row>
    <row r="74" spans="2:15">
      <c r="B74" s="24"/>
      <c r="C74" s="1"/>
    </row>
    <row r="75" spans="2:15">
      <c r="B75" s="24"/>
      <c r="C75" s="30"/>
      <c r="D75" s="30"/>
      <c r="E75" s="30"/>
      <c r="F75" s="30"/>
      <c r="G75" s="30"/>
      <c r="H75" s="30"/>
      <c r="I75" s="30"/>
    </row>
  </sheetData>
  <printOptions horizontalCentered="1"/>
  <pageMargins left="0.25" right="0.25" top="0.75" bottom="0.75" header="0.3" footer="0.3"/>
  <pageSetup fitToHeight="2" orientation="landscape" r:id="rId1"/>
  <rowBreaks count="1" manualBreakCount="1">
    <brk id="42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8"/>
  <sheetViews>
    <sheetView workbookViewId="0">
      <selection activeCell="C6" sqref="C6"/>
    </sheetView>
  </sheetViews>
  <sheetFormatPr defaultRowHeight="14.4"/>
  <cols>
    <col min="1" max="1" width="46.21875" style="138" bestFit="1" customWidth="1"/>
    <col min="2" max="7" width="10" style="138" bestFit="1" customWidth="1"/>
    <col min="8" max="8" width="15" style="138" bestFit="1" customWidth="1"/>
    <col min="9" max="9" width="8.88671875" style="92"/>
    <col min="10" max="10" width="16.77734375" style="92" bestFit="1" customWidth="1"/>
    <col min="11" max="11" width="8.88671875" style="92"/>
    <col min="12" max="12" width="10.33203125" style="92" customWidth="1"/>
    <col min="13" max="13" width="8.88671875" style="92"/>
    <col min="14" max="14" width="12" style="92" bestFit="1" customWidth="1"/>
    <col min="15" max="16" width="8.88671875" style="92"/>
    <col min="17" max="17" width="10" style="92" bestFit="1" customWidth="1"/>
    <col min="18" max="20" width="8.88671875" style="92"/>
    <col min="21" max="22" width="8.88671875" style="138"/>
    <col min="23" max="16384" width="8.88671875" style="92"/>
  </cols>
  <sheetData>
    <row r="1" spans="1:12">
      <c r="A1" s="137" t="s">
        <v>113</v>
      </c>
      <c r="J1" s="139" t="s">
        <v>21</v>
      </c>
      <c r="K1" s="140"/>
      <c r="L1" s="43"/>
    </row>
    <row r="2" spans="1:12">
      <c r="A2" s="137" t="s">
        <v>107</v>
      </c>
      <c r="J2" s="141" t="s">
        <v>108</v>
      </c>
      <c r="K2" s="142"/>
      <c r="L2" s="143"/>
    </row>
    <row r="3" spans="1:12">
      <c r="A3" s="137" t="s">
        <v>114</v>
      </c>
      <c r="J3" s="144" t="s">
        <v>22</v>
      </c>
      <c r="K3" s="90" t="s">
        <v>23</v>
      </c>
      <c r="L3" s="145" t="s">
        <v>24</v>
      </c>
    </row>
    <row r="4" spans="1:12" ht="15" thickBot="1">
      <c r="J4" s="146" t="s">
        <v>25</v>
      </c>
      <c r="K4" s="147">
        <v>0.22</v>
      </c>
      <c r="L4" s="143" t="s">
        <v>26</v>
      </c>
    </row>
    <row r="5" spans="1:12" ht="24" customHeight="1">
      <c r="A5" s="148" t="s">
        <v>37</v>
      </c>
      <c r="B5" s="149" t="s">
        <v>5</v>
      </c>
      <c r="C5" s="149" t="s">
        <v>6</v>
      </c>
      <c r="D5" s="149" t="s">
        <v>7</v>
      </c>
      <c r="E5" s="149" t="s">
        <v>8</v>
      </c>
      <c r="F5" s="149" t="s">
        <v>9</v>
      </c>
      <c r="G5" s="149" t="s">
        <v>10</v>
      </c>
      <c r="H5" s="150" t="s">
        <v>11</v>
      </c>
      <c r="J5" s="146" t="s">
        <v>0</v>
      </c>
      <c r="K5" s="147">
        <v>0.22</v>
      </c>
      <c r="L5" s="143"/>
    </row>
    <row r="6" spans="1:12">
      <c r="A6" s="151" t="s">
        <v>116</v>
      </c>
      <c r="B6" s="152">
        <v>25235</v>
      </c>
      <c r="C6" s="152">
        <v>1198572</v>
      </c>
      <c r="D6" s="152">
        <v>1834266</v>
      </c>
      <c r="E6" s="152">
        <v>1905061</v>
      </c>
      <c r="F6" s="152">
        <v>2126042</v>
      </c>
      <c r="G6" s="152">
        <v>1594532</v>
      </c>
      <c r="H6" s="153">
        <f>SUM(B6:G6)</f>
        <v>8683708</v>
      </c>
      <c r="J6" s="146" t="s">
        <v>27</v>
      </c>
      <c r="K6" s="147">
        <v>0.24</v>
      </c>
      <c r="L6" s="143"/>
    </row>
    <row r="7" spans="1:12" ht="15" thickBot="1">
      <c r="A7" s="151" t="s">
        <v>110</v>
      </c>
      <c r="B7" s="152">
        <v>0</v>
      </c>
      <c r="C7" s="152">
        <v>207500</v>
      </c>
      <c r="D7" s="152">
        <v>0</v>
      </c>
      <c r="E7" s="152">
        <v>0</v>
      </c>
      <c r="F7" s="152">
        <v>0</v>
      </c>
      <c r="G7" s="152">
        <v>0</v>
      </c>
      <c r="H7" s="153">
        <f t="shared" ref="H7:H8" si="0">SUM(B7:G7)</f>
        <v>207500</v>
      </c>
      <c r="J7" s="154" t="s">
        <v>28</v>
      </c>
      <c r="K7" s="155" t="s">
        <v>29</v>
      </c>
      <c r="L7" s="156"/>
    </row>
    <row r="8" spans="1:12" ht="15" thickBot="1">
      <c r="A8" s="157" t="s">
        <v>38</v>
      </c>
      <c r="B8" s="158">
        <f t="shared" ref="B8:G8" si="1">SUM(B6:B7)</f>
        <v>25235</v>
      </c>
      <c r="C8" s="158">
        <f t="shared" si="1"/>
        <v>1406072</v>
      </c>
      <c r="D8" s="158">
        <f t="shared" si="1"/>
        <v>1834266</v>
      </c>
      <c r="E8" s="158">
        <f t="shared" si="1"/>
        <v>1905061</v>
      </c>
      <c r="F8" s="158">
        <f t="shared" si="1"/>
        <v>2126042</v>
      </c>
      <c r="G8" s="158">
        <f t="shared" si="1"/>
        <v>1594532</v>
      </c>
      <c r="H8" s="159">
        <f t="shared" si="0"/>
        <v>8891208</v>
      </c>
      <c r="J8" s="1"/>
      <c r="K8" s="24"/>
      <c r="L8" s="1"/>
    </row>
    <row r="9" spans="1:12" ht="15" thickBot="1">
      <c r="A9" s="160"/>
      <c r="B9" s="161"/>
      <c r="C9" s="161"/>
      <c r="D9" s="161"/>
      <c r="E9" s="161"/>
      <c r="F9" s="161"/>
      <c r="G9" s="161"/>
      <c r="H9" s="161"/>
    </row>
    <row r="10" spans="1:12">
      <c r="A10" s="148" t="s">
        <v>39</v>
      </c>
      <c r="B10" s="149" t="s">
        <v>5</v>
      </c>
      <c r="C10" s="149" t="s">
        <v>6</v>
      </c>
      <c r="D10" s="149" t="s">
        <v>7</v>
      </c>
      <c r="E10" s="149" t="s">
        <v>8</v>
      </c>
      <c r="F10" s="149" t="s">
        <v>9</v>
      </c>
      <c r="G10" s="149" t="s">
        <v>10</v>
      </c>
      <c r="H10" s="150" t="s">
        <v>11</v>
      </c>
    </row>
    <row r="11" spans="1:12" ht="27.6">
      <c r="A11" s="162" t="s">
        <v>117</v>
      </c>
      <c r="B11" s="163">
        <f>-B6+(1*25000)</f>
        <v>-235</v>
      </c>
      <c r="C11" s="163">
        <f>-C6+(3*25000)</f>
        <v>-1123572</v>
      </c>
      <c r="D11" s="163">
        <f>-D6+(2*25000)</f>
        <v>-1784266</v>
      </c>
      <c r="E11" s="163">
        <f>-E6+(2*25000)</f>
        <v>-1855061</v>
      </c>
      <c r="F11" s="163">
        <f>-F6+(1*25000)</f>
        <v>-2101042</v>
      </c>
      <c r="G11" s="163">
        <f>-G6+(1*25000)</f>
        <v>-1569532</v>
      </c>
      <c r="H11" s="169">
        <f>SUM(B11:G11)</f>
        <v>-8433708</v>
      </c>
    </row>
    <row r="12" spans="1:12">
      <c r="A12" s="162" t="s">
        <v>40</v>
      </c>
      <c r="B12" s="163"/>
      <c r="C12" s="163">
        <f>-C7+(1*25000)</f>
        <v>-182500</v>
      </c>
      <c r="D12" s="163"/>
      <c r="E12" s="163"/>
      <c r="F12" s="163"/>
      <c r="G12" s="163"/>
      <c r="H12" s="169">
        <f t="shared" ref="H12" si="2">SUM(B12:G12)</f>
        <v>-182500</v>
      </c>
    </row>
    <row r="13" spans="1:12" ht="15" thickBot="1">
      <c r="A13" s="164" t="s">
        <v>111</v>
      </c>
      <c r="B13" s="165">
        <f t="shared" ref="B13:H13" si="3">SUM(B11:B12)</f>
        <v>-235</v>
      </c>
      <c r="C13" s="165">
        <f t="shared" si="3"/>
        <v>-1306072</v>
      </c>
      <c r="D13" s="165">
        <f t="shared" si="3"/>
        <v>-1784266</v>
      </c>
      <c r="E13" s="165">
        <f t="shared" si="3"/>
        <v>-1855061</v>
      </c>
      <c r="F13" s="165">
        <f t="shared" si="3"/>
        <v>-2101042</v>
      </c>
      <c r="G13" s="165">
        <f t="shared" si="3"/>
        <v>-1569532</v>
      </c>
      <c r="H13" s="166">
        <f t="shared" si="3"/>
        <v>-8616208</v>
      </c>
    </row>
    <row r="14" spans="1:12" ht="15" thickBot="1"/>
    <row r="15" spans="1:12">
      <c r="A15" s="148" t="s">
        <v>32</v>
      </c>
      <c r="B15" s="149" t="s">
        <v>5</v>
      </c>
      <c r="C15" s="149" t="s">
        <v>6</v>
      </c>
      <c r="D15" s="149" t="s">
        <v>7</v>
      </c>
      <c r="E15" s="149" t="s">
        <v>8</v>
      </c>
      <c r="F15" s="149" t="s">
        <v>9</v>
      </c>
      <c r="G15" s="149" t="s">
        <v>10</v>
      </c>
      <c r="H15" s="150" t="s">
        <v>11</v>
      </c>
    </row>
    <row r="16" spans="1:12">
      <c r="A16" s="151" t="s">
        <v>109</v>
      </c>
      <c r="B16" s="152">
        <f t="shared" ref="B16:H17" si="4">B6+B11</f>
        <v>25000</v>
      </c>
      <c r="C16" s="152">
        <f t="shared" si="4"/>
        <v>75000</v>
      </c>
      <c r="D16" s="152">
        <f t="shared" si="4"/>
        <v>50000</v>
      </c>
      <c r="E16" s="152">
        <f t="shared" si="4"/>
        <v>50000</v>
      </c>
      <c r="F16" s="152">
        <f t="shared" si="4"/>
        <v>25000</v>
      </c>
      <c r="G16" s="152">
        <f t="shared" si="4"/>
        <v>25000</v>
      </c>
      <c r="H16" s="153">
        <f t="shared" si="4"/>
        <v>250000</v>
      </c>
    </row>
    <row r="17" spans="1:8">
      <c r="A17" s="151" t="s">
        <v>110</v>
      </c>
      <c r="B17" s="152">
        <f t="shared" si="4"/>
        <v>0</v>
      </c>
      <c r="C17" s="152">
        <f t="shared" si="4"/>
        <v>25000</v>
      </c>
      <c r="D17" s="152">
        <f t="shared" si="4"/>
        <v>0</v>
      </c>
      <c r="E17" s="152">
        <f t="shared" si="4"/>
        <v>0</v>
      </c>
      <c r="F17" s="152">
        <f t="shared" si="4"/>
        <v>0</v>
      </c>
      <c r="G17" s="152">
        <f t="shared" si="4"/>
        <v>0</v>
      </c>
      <c r="H17" s="153">
        <f t="shared" si="4"/>
        <v>25000</v>
      </c>
    </row>
    <row r="18" spans="1:8" ht="15" thickBot="1">
      <c r="A18" s="164" t="s">
        <v>112</v>
      </c>
      <c r="B18" s="165">
        <f t="shared" ref="B18:H18" si="5">SUM(B16:B17)</f>
        <v>25000</v>
      </c>
      <c r="C18" s="165">
        <f t="shared" si="5"/>
        <v>100000</v>
      </c>
      <c r="D18" s="165">
        <f t="shared" si="5"/>
        <v>50000</v>
      </c>
      <c r="E18" s="165">
        <f t="shared" si="5"/>
        <v>50000</v>
      </c>
      <c r="F18" s="165">
        <f t="shared" si="5"/>
        <v>25000</v>
      </c>
      <c r="G18" s="165">
        <f t="shared" si="5"/>
        <v>25000</v>
      </c>
      <c r="H18" s="166">
        <f t="shared" si="5"/>
        <v>275000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29"/>
  <sheetViews>
    <sheetView workbookViewId="0"/>
  </sheetViews>
  <sheetFormatPr defaultRowHeight="14.4"/>
  <cols>
    <col min="1" max="1" width="52.6640625" bestFit="1" customWidth="1"/>
  </cols>
  <sheetData>
    <row r="1" spans="1:8">
      <c r="A1" s="235" t="s">
        <v>156</v>
      </c>
    </row>
    <row r="2" spans="1:8">
      <c r="A2" s="235" t="s">
        <v>157</v>
      </c>
    </row>
    <row r="4" spans="1:8" s="92" customFormat="1"/>
    <row r="5" spans="1:8" s="92" customFormat="1"/>
    <row r="6" spans="1:8" s="92" customFormat="1"/>
    <row r="7" spans="1:8" ht="15" thickBot="1">
      <c r="A7" s="170" t="s">
        <v>121</v>
      </c>
      <c r="B7" s="171" t="s">
        <v>122</v>
      </c>
      <c r="C7" s="172" t="s">
        <v>123</v>
      </c>
      <c r="D7" s="171" t="s">
        <v>124</v>
      </c>
      <c r="E7" s="172" t="s">
        <v>125</v>
      </c>
      <c r="F7" s="171" t="s">
        <v>153</v>
      </c>
      <c r="G7" s="172" t="s">
        <v>154</v>
      </c>
      <c r="H7" s="173" t="s">
        <v>126</v>
      </c>
    </row>
    <row r="8" spans="1:8">
      <c r="A8" s="174" t="s">
        <v>127</v>
      </c>
      <c r="B8" s="175">
        <v>0</v>
      </c>
      <c r="C8" s="175">
        <v>0</v>
      </c>
      <c r="D8" s="175">
        <v>0</v>
      </c>
      <c r="E8" s="175">
        <v>0</v>
      </c>
      <c r="F8" s="175">
        <v>0</v>
      </c>
      <c r="G8" s="175">
        <v>0</v>
      </c>
      <c r="H8" s="175">
        <v>0</v>
      </c>
    </row>
    <row r="9" spans="1:8">
      <c r="A9" s="176" t="s">
        <v>128</v>
      </c>
      <c r="B9" s="177">
        <f>PIO!C8+TDA!C8+'GNAO-RTC'!C8+'PMO Mgmt'!B8</f>
        <v>1066404.3761438038</v>
      </c>
      <c r="C9" s="177">
        <f>PIO!D8+TDA!D8+'GNAO-RTC'!D8+'PMO Mgmt'!C8</f>
        <v>1873191.1390879478</v>
      </c>
      <c r="D9" s="177">
        <f>PIO!E8+TDA!E8+'GNAO-RTC'!E8+'PMO Mgmt'!D8</f>
        <v>1737062.5057660555</v>
      </c>
      <c r="E9" s="177">
        <f>PIO!F8+TDA!F8+'GNAO-RTC'!F8+'PMO Mgmt'!E8</f>
        <v>1127480.3120253659</v>
      </c>
      <c r="F9" s="177">
        <f>'GNAO-RTC'!G8+'PMO Mgmt'!F8</f>
        <v>610220.98603011598</v>
      </c>
      <c r="G9" s="177">
        <f>'GNAO-RTC'!H8+'PMO Mgmt'!G8</f>
        <v>424403.73091790592</v>
      </c>
      <c r="H9" s="177">
        <f>SUM(B9:G9)</f>
        <v>6838763.0499711949</v>
      </c>
    </row>
    <row r="10" spans="1:8">
      <c r="A10" s="178" t="s">
        <v>129</v>
      </c>
      <c r="B10" s="179">
        <f>SUM(B8:B9)</f>
        <v>1066404.3761438038</v>
      </c>
      <c r="C10" s="179">
        <f t="shared" ref="C10:H10" si="0">SUM(C8:C9)</f>
        <v>1873191.1390879478</v>
      </c>
      <c r="D10" s="179">
        <f t="shared" si="0"/>
        <v>1737062.5057660555</v>
      </c>
      <c r="E10" s="179">
        <f t="shared" si="0"/>
        <v>1127480.3120253659</v>
      </c>
      <c r="F10" s="179">
        <f t="shared" si="0"/>
        <v>610220.98603011598</v>
      </c>
      <c r="G10" s="179">
        <f t="shared" si="0"/>
        <v>424403.73091790592</v>
      </c>
      <c r="H10" s="179">
        <f t="shared" si="0"/>
        <v>6838763.0499711949</v>
      </c>
    </row>
    <row r="11" spans="1:8">
      <c r="A11" s="176" t="s">
        <v>130</v>
      </c>
      <c r="B11" s="177">
        <f>PIO!C10+TDA!C10+'GNAO-RTC'!C10+'PMO Mgmt'!B10</f>
        <v>598999.33807997452</v>
      </c>
      <c r="C11" s="177">
        <f>PIO!D10+TDA!D10+'GNAO-RTC'!D10+'PMO Mgmt'!C10</f>
        <v>1052171.4628257004</v>
      </c>
      <c r="D11" s="177">
        <f>PIO!E10+TDA!E10+'GNAO-RTC'!E10+'PMO Mgmt'!D10</f>
        <v>975708.00948879332</v>
      </c>
      <c r="E11" s="177">
        <f>PIO!F10+TDA!F10+'GNAO-RTC'!F10+'PMO Mgmt'!E10</f>
        <v>633305.69126464799</v>
      </c>
      <c r="F11" s="177">
        <f>'GNAO-RTC'!G10+'PMO Mgmt'!F10</f>
        <v>342761.12785311614</v>
      </c>
      <c r="G11" s="177">
        <f>'GNAO-RTC'!H10+'PMO Mgmt'!G10</f>
        <v>238387.57565658772</v>
      </c>
      <c r="H11" s="177">
        <f>SUM(B11:G11)</f>
        <v>3841333.20516882</v>
      </c>
    </row>
    <row r="12" spans="1:8">
      <c r="A12" s="178" t="s">
        <v>131</v>
      </c>
      <c r="B12" s="179">
        <f>B10+B11</f>
        <v>1665403.7142237783</v>
      </c>
      <c r="C12" s="179">
        <f t="shared" ref="C12:G12" si="1">C10+C11</f>
        <v>2925362.6019136482</v>
      </c>
      <c r="D12" s="179">
        <f t="shared" si="1"/>
        <v>2712770.5152548486</v>
      </c>
      <c r="E12" s="179">
        <f t="shared" si="1"/>
        <v>1760786.0032900139</v>
      </c>
      <c r="F12" s="179">
        <f t="shared" si="1"/>
        <v>952982.11388323212</v>
      </c>
      <c r="G12" s="179">
        <f t="shared" si="1"/>
        <v>662791.30657449365</v>
      </c>
      <c r="H12" s="179">
        <f>SUM(B12:G12)</f>
        <v>10680096.255140016</v>
      </c>
    </row>
    <row r="13" spans="1:8">
      <c r="A13" s="176" t="s">
        <v>132</v>
      </c>
      <c r="B13" s="177">
        <f>PIO!C12+TDA!C12+'GNAO-RTC'!C12+'PMO Mgmt'!B12</f>
        <v>0</v>
      </c>
      <c r="C13" s="177">
        <f>PIO!D12+TDA!D12+'GNAO-RTC'!D12+'PMO Mgmt'!C12</f>
        <v>0</v>
      </c>
      <c r="D13" s="177">
        <f>PIO!E12+TDA!E12+'GNAO-RTC'!E12+'PMO Mgmt'!D12</f>
        <v>156160</v>
      </c>
      <c r="E13" s="177">
        <f>PIO!F12+TDA!F12+'GNAO-RTC'!F12+'PMO Mgmt'!E12</f>
        <v>2768430.0512000001</v>
      </c>
      <c r="F13" s="177">
        <f>'GNAO-RTC'!G12+'PMO Mgmt'!F12</f>
        <v>380640</v>
      </c>
      <c r="G13" s="177">
        <f>'GNAO-RTC'!H12+'PMO Mgmt'!G12</f>
        <v>0</v>
      </c>
      <c r="H13" s="177">
        <f>SUM(B13:G13)</f>
        <v>3305230.0512000001</v>
      </c>
    </row>
    <row r="14" spans="1:8">
      <c r="A14" s="176" t="s">
        <v>133</v>
      </c>
      <c r="B14" s="177">
        <f>PIO!C13+TDA!C13+'GNAO-RTC'!C13+'PMO Mgmt'!B13</f>
        <v>104040.76</v>
      </c>
      <c r="C14" s="177">
        <f>PIO!D13+TDA!D13+'GNAO-RTC'!D13+'PMO Mgmt'!C13</f>
        <v>93101.450000000012</v>
      </c>
      <c r="D14" s="177">
        <f>PIO!E13+TDA!E13+'GNAO-RTC'!E13+'PMO Mgmt'!D13</f>
        <v>70053.47</v>
      </c>
      <c r="E14" s="177">
        <f>PIO!F13+TDA!F13+'GNAO-RTC'!F13+'PMO Mgmt'!E13</f>
        <v>48588.740000000005</v>
      </c>
      <c r="F14" s="177">
        <f>'GNAO-RTC'!G13+'PMO Mgmt'!F13</f>
        <v>46766.26</v>
      </c>
      <c r="G14" s="177">
        <f>'GNAO-RTC'!H13+'PMO Mgmt'!G13</f>
        <v>39394.97</v>
      </c>
      <c r="H14" s="177">
        <f t="shared" ref="H14:H15" si="2">SUM(B14:G14)</f>
        <v>401945.65</v>
      </c>
    </row>
    <row r="15" spans="1:8">
      <c r="A15" s="176" t="s">
        <v>134</v>
      </c>
      <c r="B15" s="177">
        <f>PIO!C14+TDA!C14+'GNAO-RTC'!C14+'PMO Mgmt'!B14</f>
        <v>101874.93000000001</v>
      </c>
      <c r="C15" s="177">
        <f>PIO!D14+TDA!D14+'GNAO-RTC'!D14+'PMO Mgmt'!C14</f>
        <v>160139.93</v>
      </c>
      <c r="D15" s="177">
        <f>PIO!E14+TDA!E14+'GNAO-RTC'!E14+'PMO Mgmt'!D14</f>
        <v>96086.610000000015</v>
      </c>
      <c r="E15" s="177">
        <f>PIO!F14+TDA!F14+'GNAO-RTC'!F14+'PMO Mgmt'!E14</f>
        <v>52074.820000000007</v>
      </c>
      <c r="F15" s="177">
        <f>'GNAO-RTC'!G14+'PMO Mgmt'!F14</f>
        <v>48635.75</v>
      </c>
      <c r="G15" s="177">
        <f>'GNAO-RTC'!H14+'PMO Mgmt'!G14</f>
        <v>82403.579999999987</v>
      </c>
      <c r="H15" s="177">
        <f t="shared" si="2"/>
        <v>541215.62</v>
      </c>
    </row>
    <row r="16" spans="1:8">
      <c r="A16" s="178" t="s">
        <v>65</v>
      </c>
      <c r="B16" s="179">
        <f>B14+B15</f>
        <v>205915.69</v>
      </c>
      <c r="C16" s="179">
        <f t="shared" ref="C16:G16" si="3">C14+C15</f>
        <v>253241.38</v>
      </c>
      <c r="D16" s="179">
        <f t="shared" si="3"/>
        <v>166140.08000000002</v>
      </c>
      <c r="E16" s="179">
        <f t="shared" si="3"/>
        <v>100663.56000000001</v>
      </c>
      <c r="F16" s="179">
        <f t="shared" si="3"/>
        <v>95402.010000000009</v>
      </c>
      <c r="G16" s="179">
        <f t="shared" si="3"/>
        <v>121798.54999999999</v>
      </c>
      <c r="H16" s="179">
        <f>SUM(B16:G16)</f>
        <v>943161.27</v>
      </c>
    </row>
    <row r="17" spans="1:8">
      <c r="A17" s="176" t="s">
        <v>135</v>
      </c>
      <c r="B17" s="177">
        <v>0</v>
      </c>
      <c r="C17" s="177">
        <v>0</v>
      </c>
      <c r="D17" s="177">
        <v>0</v>
      </c>
      <c r="E17" s="177">
        <v>0</v>
      </c>
      <c r="F17" s="177">
        <f>'GNAO-RTC'!G16+'PMO Mgmt'!F16</f>
        <v>0</v>
      </c>
      <c r="G17" s="177">
        <f>'GNAO-RTC'!H16+'PMO Mgmt'!G16</f>
        <v>0</v>
      </c>
      <c r="H17" s="177">
        <v>0</v>
      </c>
    </row>
    <row r="18" spans="1:8">
      <c r="A18" s="180" t="s">
        <v>136</v>
      </c>
      <c r="B18" s="177">
        <f>PIO!C17+TDA!C17+'GNAO-RTC'!C17+'PMO Mgmt'!B17</f>
        <v>28177.186000000034</v>
      </c>
      <c r="C18" s="177">
        <f>PIO!D17+TDA!D17+'GNAO-RTC'!D17+'PMO Mgmt'!C17</f>
        <v>38560.286000000036</v>
      </c>
      <c r="D18" s="177">
        <f>PIO!E17+TDA!E17+'GNAO-RTC'!E17+'PMO Mgmt'!D17</f>
        <v>35576.286000000036</v>
      </c>
      <c r="E18" s="177">
        <f>PIO!F17+TDA!F17+'GNAO-RTC'!F17+'PMO Mgmt'!E17</f>
        <v>16592.286000000033</v>
      </c>
      <c r="F18" s="177">
        <f>'GNAO-RTC'!G17+'PMO Mgmt'!F17</f>
        <v>60714.193000000014</v>
      </c>
      <c r="G18" s="177">
        <f>'GNAO-RTC'!H17+'PMO Mgmt'!G17</f>
        <v>11693.693000000017</v>
      </c>
      <c r="H18" s="177">
        <f t="shared" ref="H18:H23" si="4">SUM(B18:G18)</f>
        <v>191313.93000000017</v>
      </c>
    </row>
    <row r="19" spans="1:8">
      <c r="A19" s="176" t="s">
        <v>137</v>
      </c>
      <c r="B19" s="177">
        <f>PIO!C18+TDA!C18+'GNAO-RTC'!C18+'PMO Mgmt'!B18</f>
        <v>0</v>
      </c>
      <c r="C19" s="177">
        <f>PIO!D18+TDA!D18+'GNAO-RTC'!D18+'PMO Mgmt'!C18</f>
        <v>0</v>
      </c>
      <c r="D19" s="177">
        <f>PIO!E18+TDA!E18+'GNAO-RTC'!E18+'PMO Mgmt'!D18</f>
        <v>0</v>
      </c>
      <c r="E19" s="177">
        <f>PIO!F18+TDA!F18+'GNAO-RTC'!F18+'PMO Mgmt'!E18</f>
        <v>0</v>
      </c>
      <c r="F19" s="177">
        <f>'GNAO-RTC'!G18+'PMO Mgmt'!F18</f>
        <v>0</v>
      </c>
      <c r="G19" s="177">
        <f>'GNAO-RTC'!H18+'PMO Mgmt'!G18</f>
        <v>0</v>
      </c>
      <c r="H19" s="177">
        <f t="shared" si="4"/>
        <v>0</v>
      </c>
    </row>
    <row r="20" spans="1:8">
      <c r="A20" s="176" t="s">
        <v>138</v>
      </c>
      <c r="B20" s="177">
        <f>PIO!C19+TDA!C19+'GNAO-RTC'!C19+'PMO Mgmt'!B19</f>
        <v>12000</v>
      </c>
      <c r="C20" s="177">
        <f>PIO!D19+TDA!D19+'GNAO-RTC'!D19+'PMO Mgmt'!C19</f>
        <v>0</v>
      </c>
      <c r="D20" s="177">
        <f>PIO!E19+TDA!E19+'GNAO-RTC'!E19+'PMO Mgmt'!D19</f>
        <v>12000</v>
      </c>
      <c r="E20" s="177">
        <f>PIO!F19+TDA!F19+'GNAO-RTC'!F19+'PMO Mgmt'!E19</f>
        <v>0</v>
      </c>
      <c r="F20" s="177">
        <f>'GNAO-RTC'!G19+'PMO Mgmt'!F19</f>
        <v>0</v>
      </c>
      <c r="G20" s="177">
        <f>'GNAO-RTC'!H19+'PMO Mgmt'!G19</f>
        <v>0</v>
      </c>
      <c r="H20" s="177">
        <f t="shared" si="4"/>
        <v>24000</v>
      </c>
    </row>
    <row r="21" spans="1:8">
      <c r="A21" s="176" t="s">
        <v>139</v>
      </c>
      <c r="B21" s="177">
        <f>PIO!C20+TDA!C20+'GNAO-RTC'!C20+'PMO Mgmt'!B20</f>
        <v>0</v>
      </c>
      <c r="C21" s="177">
        <f>PIO!D20+TDA!D20+'GNAO-RTC'!D20+'PMO Mgmt'!C20</f>
        <v>0</v>
      </c>
      <c r="D21" s="177">
        <f>PIO!E20+TDA!E20+'GNAO-RTC'!E20+'PMO Mgmt'!D20</f>
        <v>0</v>
      </c>
      <c r="E21" s="177">
        <f>PIO!F20+TDA!F20+'GNAO-RTC'!F20+'PMO Mgmt'!E20</f>
        <v>0</v>
      </c>
      <c r="F21" s="177">
        <f>'GNAO-RTC'!G20+'PMO Mgmt'!F20</f>
        <v>0</v>
      </c>
      <c r="G21" s="177">
        <f>'GNAO-RTC'!H20+'PMO Mgmt'!G20</f>
        <v>0</v>
      </c>
      <c r="H21" s="177">
        <f t="shared" si="4"/>
        <v>0</v>
      </c>
    </row>
    <row r="22" spans="1:8">
      <c r="A22" s="176" t="s">
        <v>140</v>
      </c>
      <c r="B22" s="177">
        <f>PIO!C21+TDA!C21+'GNAO-RTC'!C21+'PMO Mgmt'!B21</f>
        <v>0</v>
      </c>
      <c r="C22" s="177">
        <f>PIO!D21+TDA!D21+'GNAO-RTC'!D21+'PMO Mgmt'!C21</f>
        <v>0</v>
      </c>
      <c r="D22" s="177">
        <f>PIO!E21+TDA!E21+'GNAO-RTC'!E21+'PMO Mgmt'!D21</f>
        <v>0</v>
      </c>
      <c r="E22" s="177">
        <f>PIO!F21+TDA!F21+'GNAO-RTC'!F21+'PMO Mgmt'!E21</f>
        <v>0</v>
      </c>
      <c r="F22" s="177">
        <f>'GNAO-RTC'!G21+'PMO Mgmt'!F21</f>
        <v>0</v>
      </c>
      <c r="G22" s="177">
        <f>'GNAO-RTC'!H21+'PMO Mgmt'!G21</f>
        <v>0</v>
      </c>
      <c r="H22" s="177">
        <f t="shared" si="4"/>
        <v>0</v>
      </c>
    </row>
    <row r="23" spans="1:8">
      <c r="A23" s="176" t="s">
        <v>141</v>
      </c>
      <c r="B23" s="177">
        <f>PIO!C22+TDA!C22+'GNAO-RTC'!C22+'PMO Mgmt'!B22</f>
        <v>119920.4</v>
      </c>
      <c r="C23" s="177">
        <f>PIO!D22+TDA!D22+'GNAO-RTC'!D22+'PMO Mgmt'!C22</f>
        <v>1515449.3687999998</v>
      </c>
      <c r="D23" s="177">
        <f>PIO!E22+TDA!E22+'GNAO-RTC'!E22+'PMO Mgmt'!D22</f>
        <v>1870720.2519999999</v>
      </c>
      <c r="E23" s="177">
        <f>PIO!F22+TDA!F22+'GNAO-RTC'!F22+'PMO Mgmt'!E22</f>
        <v>1941515.3391999998</v>
      </c>
      <c r="F23" s="177">
        <f>'GNAO-RTC'!G22+'PMO Mgmt'!F22</f>
        <v>2235419.6719999998</v>
      </c>
      <c r="G23" s="177">
        <f>'GNAO-RTC'!H22+'PMO Mgmt'!G22</f>
        <v>1667454.7039999999</v>
      </c>
      <c r="H23" s="177">
        <f t="shared" si="4"/>
        <v>9350479.7359999996</v>
      </c>
    </row>
    <row r="24" spans="1:8">
      <c r="A24" s="178" t="s">
        <v>83</v>
      </c>
      <c r="B24" s="179">
        <f>SUM(B18:B23)</f>
        <v>160097.58600000001</v>
      </c>
      <c r="C24" s="179">
        <f t="shared" ref="C24:G24" si="5">SUM(C18:C23)</f>
        <v>1554009.6547999999</v>
      </c>
      <c r="D24" s="179">
        <f t="shared" si="5"/>
        <v>1918296.5379999999</v>
      </c>
      <c r="E24" s="179">
        <f t="shared" si="5"/>
        <v>1958107.6251999999</v>
      </c>
      <c r="F24" s="179">
        <f t="shared" si="5"/>
        <v>2296133.8649999998</v>
      </c>
      <c r="G24" s="179">
        <f t="shared" si="5"/>
        <v>1679148.3969999999</v>
      </c>
      <c r="H24" s="179">
        <f>SUM(B24:G24)</f>
        <v>9565793.6659999993</v>
      </c>
    </row>
    <row r="25" spans="1:8">
      <c r="A25" s="181" t="s">
        <v>142</v>
      </c>
      <c r="B25" s="179">
        <f>B12+B13+B16+B24</f>
        <v>2031416.9902237784</v>
      </c>
      <c r="C25" s="179">
        <f t="shared" ref="C25:H25" si="6">C12+C13+C16+C24</f>
        <v>4732613.6367136482</v>
      </c>
      <c r="D25" s="179">
        <f t="shared" si="6"/>
        <v>4953367.1332548484</v>
      </c>
      <c r="E25" s="179">
        <f t="shared" si="6"/>
        <v>6587987.2396900132</v>
      </c>
      <c r="F25" s="179">
        <f t="shared" si="6"/>
        <v>3725157.9888832318</v>
      </c>
      <c r="G25" s="179">
        <f t="shared" si="6"/>
        <v>2463738.2535744933</v>
      </c>
      <c r="H25" s="179">
        <f t="shared" si="6"/>
        <v>24494281.242340013</v>
      </c>
    </row>
    <row r="26" spans="1:8">
      <c r="A26" s="182" t="s">
        <v>143</v>
      </c>
      <c r="B26" s="177">
        <f>'Summary by WBS w IDC MTDC'!C63</f>
        <v>189306</v>
      </c>
      <c r="C26" s="177">
        <f>'Summary by WBS w IDC MTDC'!D63</f>
        <v>333908</v>
      </c>
      <c r="D26" s="177">
        <f>'Summary by WBS w IDC MTDC'!E63</f>
        <v>538823</v>
      </c>
      <c r="E26" s="177">
        <f>'Summary by WBS w IDC MTDC'!F63</f>
        <v>218567</v>
      </c>
      <c r="F26" s="177">
        <f>'Summary by WBS w IDC MTDC'!G63</f>
        <v>115892</v>
      </c>
      <c r="G26" s="177">
        <f>'Summary by WBS w IDC MTDC'!H63</f>
        <v>83340</v>
      </c>
      <c r="H26" s="177">
        <f>'Summary by WBS w IDC MTDC'!I63</f>
        <v>1479837</v>
      </c>
    </row>
    <row r="27" spans="1:8">
      <c r="A27" s="183" t="s">
        <v>89</v>
      </c>
      <c r="B27" s="184">
        <f>B25+B26</f>
        <v>2220722.9902237784</v>
      </c>
      <c r="C27" s="184">
        <f t="shared" ref="C27:H27" si="7">C25+C26</f>
        <v>5066521.6367136482</v>
      </c>
      <c r="D27" s="184">
        <f t="shared" si="7"/>
        <v>5492190.1332548484</v>
      </c>
      <c r="E27" s="184">
        <f t="shared" si="7"/>
        <v>6806554.2396900132</v>
      </c>
      <c r="F27" s="184">
        <f t="shared" si="7"/>
        <v>3841049.9888832318</v>
      </c>
      <c r="G27" s="184">
        <f t="shared" si="7"/>
        <v>2547078.2535744933</v>
      </c>
      <c r="H27" s="184">
        <f t="shared" si="7"/>
        <v>25974118.242340013</v>
      </c>
    </row>
    <row r="28" spans="1:8">
      <c r="A28" s="185" t="s">
        <v>144</v>
      </c>
      <c r="B28" s="186">
        <v>43374</v>
      </c>
      <c r="C28" s="187"/>
      <c r="D28" s="187"/>
      <c r="E28" s="187"/>
      <c r="F28" s="187"/>
      <c r="G28" s="187"/>
      <c r="H28" s="187"/>
    </row>
    <row r="29" spans="1:8">
      <c r="A29" s="188" t="s">
        <v>145</v>
      </c>
      <c r="B29" s="186">
        <v>45565</v>
      </c>
      <c r="C29" s="187"/>
      <c r="D29" s="187"/>
      <c r="E29" s="187"/>
      <c r="F29" s="187"/>
      <c r="G29" s="187"/>
      <c r="H29" s="1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37"/>
  <sheetViews>
    <sheetView workbookViewId="0">
      <selection activeCell="J38" sqref="J38"/>
    </sheetView>
  </sheetViews>
  <sheetFormatPr defaultRowHeight="14.4"/>
  <cols>
    <col min="1" max="1" width="56" style="5" bestFit="1" customWidth="1"/>
    <col min="2" max="7" width="9" style="5" bestFit="1" customWidth="1"/>
    <col min="8" max="8" width="9.6640625" style="5" bestFit="1" customWidth="1"/>
    <col min="9" max="9" width="3.44140625" style="5" customWidth="1"/>
    <col min="10" max="10" width="38.33203125" bestFit="1" customWidth="1"/>
    <col min="11" max="16" width="7.88671875" bestFit="1" customWidth="1"/>
    <col min="17" max="17" width="9.33203125" bestFit="1" customWidth="1"/>
    <col min="21" max="16384" width="8.88671875" style="5"/>
  </cols>
  <sheetData>
    <row r="1" spans="1:20">
      <c r="A1" s="6" t="s">
        <v>2</v>
      </c>
      <c r="B1" s="1"/>
      <c r="C1" s="1"/>
      <c r="D1" s="1"/>
      <c r="E1" s="1"/>
      <c r="F1" s="1"/>
      <c r="G1" s="1"/>
      <c r="H1" s="1"/>
    </row>
    <row r="2" spans="1:20">
      <c r="A2" s="93" t="s">
        <v>102</v>
      </c>
      <c r="B2" s="1"/>
      <c r="C2" s="1"/>
      <c r="D2" s="1"/>
      <c r="E2" s="7">
        <f>'[1]Complexity y IDC'!C4</f>
        <v>0.22</v>
      </c>
      <c r="F2" s="1" t="s">
        <v>3</v>
      </c>
      <c r="G2" s="1"/>
      <c r="H2" s="1"/>
    </row>
    <row r="3" spans="1:20">
      <c r="A3" s="6" t="s">
        <v>4</v>
      </c>
      <c r="B3" s="1"/>
      <c r="C3" s="1"/>
      <c r="D3" s="1"/>
      <c r="E3"/>
      <c r="F3"/>
      <c r="G3" s="1"/>
      <c r="H3" s="1"/>
    </row>
    <row r="4" spans="1:20">
      <c r="A4" s="233" t="s">
        <v>152</v>
      </c>
      <c r="B4" s="1"/>
      <c r="C4" s="1"/>
      <c r="D4" s="1"/>
      <c r="E4" s="1"/>
      <c r="F4" s="1"/>
      <c r="G4" s="1"/>
      <c r="H4" s="1"/>
    </row>
    <row r="5" spans="1:20" s="78" customForma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5" thickBot="1">
      <c r="A6" s="170" t="s">
        <v>121</v>
      </c>
      <c r="B6" s="171" t="s">
        <v>122</v>
      </c>
      <c r="C6" s="172" t="s">
        <v>123</v>
      </c>
      <c r="D6" s="171" t="s">
        <v>124</v>
      </c>
      <c r="E6" s="172" t="s">
        <v>125</v>
      </c>
      <c r="F6" s="171" t="s">
        <v>153</v>
      </c>
      <c r="G6" s="172" t="s">
        <v>154</v>
      </c>
      <c r="H6" s="173" t="s">
        <v>126</v>
      </c>
      <c r="I6"/>
    </row>
    <row r="7" spans="1:20">
      <c r="A7" s="174" t="s">
        <v>127</v>
      </c>
      <c r="B7" s="175">
        <v>0</v>
      </c>
      <c r="C7" s="175">
        <v>0</v>
      </c>
      <c r="D7" s="175">
        <v>0</v>
      </c>
      <c r="E7" s="175">
        <v>0</v>
      </c>
      <c r="F7" s="175">
        <v>0</v>
      </c>
      <c r="G7" s="175">
        <v>0</v>
      </c>
      <c r="H7" s="175">
        <v>0</v>
      </c>
      <c r="I7"/>
    </row>
    <row r="8" spans="1:20">
      <c r="A8" s="176" t="s">
        <v>128</v>
      </c>
      <c r="B8" s="177">
        <v>173923.30153038353</v>
      </c>
      <c r="C8" s="177">
        <v>157716.9873855414</v>
      </c>
      <c r="D8" s="177">
        <v>157927.78723698534</v>
      </c>
      <c r="E8" s="177">
        <v>162665.62085409494</v>
      </c>
      <c r="F8" s="177">
        <v>166903.65235527442</v>
      </c>
      <c r="G8" s="177">
        <v>181967.53318466642</v>
      </c>
      <c r="H8" s="177">
        <v>1001104.8825469461</v>
      </c>
      <c r="I8"/>
    </row>
    <row r="9" spans="1:20">
      <c r="A9" s="178" t="s">
        <v>129</v>
      </c>
      <c r="B9" s="179">
        <v>173923.30153038353</v>
      </c>
      <c r="C9" s="179">
        <v>157716.9873855414</v>
      </c>
      <c r="D9" s="179">
        <v>157927.78723698534</v>
      </c>
      <c r="E9" s="179">
        <v>162665.62085409494</v>
      </c>
      <c r="F9" s="179">
        <v>166903.65235527442</v>
      </c>
      <c r="G9" s="179">
        <v>181967.53318466642</v>
      </c>
      <c r="H9" s="179">
        <v>1001104.8825469461</v>
      </c>
      <c r="I9"/>
    </row>
    <row r="10" spans="1:20">
      <c r="A10" s="176" t="s">
        <v>130</v>
      </c>
      <c r="B10" s="177">
        <v>97692.718469616419</v>
      </c>
      <c r="C10" s="177">
        <v>88589.631814458597</v>
      </c>
      <c r="D10" s="177">
        <v>88708.038091014663</v>
      </c>
      <c r="E10" s="177">
        <v>91369.279233745125</v>
      </c>
      <c r="F10" s="177">
        <v>93749.781527957632</v>
      </c>
      <c r="G10" s="177">
        <v>102211.16338982712</v>
      </c>
      <c r="H10" s="177">
        <v>562320.61252661957</v>
      </c>
      <c r="I10"/>
    </row>
    <row r="11" spans="1:20">
      <c r="A11" s="178" t="s">
        <v>131</v>
      </c>
      <c r="B11" s="179">
        <v>271616.01999999996</v>
      </c>
      <c r="C11" s="179">
        <v>246306.61920000002</v>
      </c>
      <c r="D11" s="179">
        <v>246635.82532800001</v>
      </c>
      <c r="E11" s="179">
        <v>254034.90008784007</v>
      </c>
      <c r="F11" s="179">
        <v>260653.43388323206</v>
      </c>
      <c r="G11" s="179">
        <v>284178.69657449354</v>
      </c>
      <c r="H11" s="179">
        <v>1563425.4950735657</v>
      </c>
      <c r="I11"/>
    </row>
    <row r="12" spans="1:20">
      <c r="A12" s="176" t="s">
        <v>132</v>
      </c>
      <c r="B12" s="177">
        <v>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/>
    </row>
    <row r="13" spans="1:20">
      <c r="A13" s="176" t="s">
        <v>133</v>
      </c>
      <c r="B13" s="177">
        <v>34330.61</v>
      </c>
      <c r="C13" s="177">
        <v>41044.699999999997</v>
      </c>
      <c r="D13" s="177">
        <v>21228.9</v>
      </c>
      <c r="E13" s="177">
        <v>21882.469999999998</v>
      </c>
      <c r="F13" s="177">
        <v>36739.94</v>
      </c>
      <c r="G13" s="177">
        <v>24943.97</v>
      </c>
      <c r="H13" s="177">
        <v>180170.59</v>
      </c>
      <c r="I13"/>
    </row>
    <row r="14" spans="1:20" hidden="1">
      <c r="A14" s="176" t="s">
        <v>134</v>
      </c>
      <c r="B14" s="177">
        <v>30051.160000000003</v>
      </c>
      <c r="C14" s="177">
        <v>38413.11</v>
      </c>
      <c r="D14" s="177">
        <v>8449.91</v>
      </c>
      <c r="E14" s="177">
        <v>12369.939999999999</v>
      </c>
      <c r="F14" s="177">
        <v>28858.19</v>
      </c>
      <c r="G14" s="177">
        <v>43122.17</v>
      </c>
      <c r="H14" s="177">
        <v>161264.48000000001</v>
      </c>
      <c r="I14"/>
    </row>
    <row r="15" spans="1:20">
      <c r="A15" s="178" t="s">
        <v>65</v>
      </c>
      <c r="B15" s="179">
        <v>64381.770000000004</v>
      </c>
      <c r="C15" s="179">
        <v>79457.81</v>
      </c>
      <c r="D15" s="179">
        <v>29678.81</v>
      </c>
      <c r="E15" s="179">
        <v>34252.409999999996</v>
      </c>
      <c r="F15" s="179">
        <v>65598.13</v>
      </c>
      <c r="G15" s="179">
        <v>68066.14</v>
      </c>
      <c r="H15" s="179">
        <v>341435.07</v>
      </c>
      <c r="I15"/>
    </row>
    <row r="16" spans="1:20">
      <c r="A16" s="176" t="s">
        <v>135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/>
    </row>
    <row r="17" spans="1:20">
      <c r="A17" s="180" t="s">
        <v>136</v>
      </c>
      <c r="B17" s="177">
        <v>24389.186000000034</v>
      </c>
      <c r="C17" s="177">
        <v>25697.286000000033</v>
      </c>
      <c r="D17" s="177">
        <v>25713.286000000033</v>
      </c>
      <c r="E17" s="177">
        <v>8229.2860000000328</v>
      </c>
      <c r="F17" s="177">
        <v>5051.1930000000166</v>
      </c>
      <c r="G17" s="177">
        <v>4833.6930000000166</v>
      </c>
      <c r="H17" s="177">
        <v>93913.930000000168</v>
      </c>
      <c r="I17"/>
    </row>
    <row r="18" spans="1:20">
      <c r="A18" s="176" t="s">
        <v>137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/>
    </row>
    <row r="19" spans="1:20" s="49" customFormat="1">
      <c r="A19" s="176" t="s">
        <v>138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/>
      <c r="J19"/>
      <c r="K19"/>
      <c r="L19"/>
      <c r="M19"/>
      <c r="N19"/>
      <c r="O19"/>
      <c r="P19"/>
      <c r="Q19"/>
      <c r="R19"/>
      <c r="S19"/>
      <c r="T19"/>
    </row>
    <row r="20" spans="1:20">
      <c r="A20" s="176" t="s">
        <v>139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/>
    </row>
    <row r="21" spans="1:20">
      <c r="A21" s="176" t="s">
        <v>140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/>
    </row>
    <row r="22" spans="1:20">
      <c r="A22" s="176" t="s">
        <v>141</v>
      </c>
      <c r="B22" s="177">
        <v>87685.4</v>
      </c>
      <c r="C22" s="177">
        <v>109377.4</v>
      </c>
      <c r="D22" s="177">
        <v>36454.400000000001</v>
      </c>
      <c r="E22" s="177">
        <v>36454.400000000001</v>
      </c>
      <c r="F22" s="177">
        <v>109377.4</v>
      </c>
      <c r="G22" s="177">
        <v>72923</v>
      </c>
      <c r="H22" s="177">
        <v>452272</v>
      </c>
      <c r="I22"/>
    </row>
    <row r="23" spans="1:20">
      <c r="A23" s="178" t="s">
        <v>83</v>
      </c>
      <c r="B23" s="179">
        <v>112074.58600000002</v>
      </c>
      <c r="C23" s="179">
        <v>135074.68600000002</v>
      </c>
      <c r="D23" s="179">
        <v>62167.686000000031</v>
      </c>
      <c r="E23" s="179">
        <v>44683.686000000031</v>
      </c>
      <c r="F23" s="179">
        <v>114428.59300000001</v>
      </c>
      <c r="G23" s="179">
        <v>77756.693000000014</v>
      </c>
      <c r="H23" s="179">
        <v>546185.93000000017</v>
      </c>
      <c r="I23"/>
    </row>
    <row r="24" spans="1:20">
      <c r="A24" s="181" t="s">
        <v>142</v>
      </c>
      <c r="B24" s="179">
        <v>448072.37599999999</v>
      </c>
      <c r="C24" s="179">
        <v>460839.1152</v>
      </c>
      <c r="D24" s="179">
        <v>338482.32132800005</v>
      </c>
      <c r="E24" s="179">
        <v>332970.99608784012</v>
      </c>
      <c r="F24" s="179">
        <v>440680.15688323206</v>
      </c>
      <c r="G24" s="179">
        <v>430001.52957449359</v>
      </c>
      <c r="H24" s="179">
        <v>2451046.4950735662</v>
      </c>
      <c r="I24"/>
    </row>
    <row r="25" spans="1:20">
      <c r="A25" s="182" t="s">
        <v>143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v>0</v>
      </c>
      <c r="I25"/>
    </row>
    <row r="26" spans="1:20">
      <c r="A26" s="183" t="s">
        <v>89</v>
      </c>
      <c r="B26" s="184">
        <v>448072.37599999999</v>
      </c>
      <c r="C26" s="184">
        <v>460839.1152</v>
      </c>
      <c r="D26" s="184">
        <v>338482.32132800005</v>
      </c>
      <c r="E26" s="184">
        <v>332970.99608784012</v>
      </c>
      <c r="F26" s="184">
        <v>440680.15688323206</v>
      </c>
      <c r="G26" s="184">
        <v>430001.52957449359</v>
      </c>
      <c r="H26" s="184">
        <v>2451046.4950735662</v>
      </c>
      <c r="I26"/>
    </row>
    <row r="27" spans="1:20">
      <c r="A27"/>
      <c r="B27"/>
      <c r="C27"/>
      <c r="D27"/>
      <c r="E27"/>
      <c r="F27"/>
      <c r="G27"/>
      <c r="H27"/>
      <c r="I27"/>
    </row>
    <row r="28" spans="1:20">
      <c r="A28"/>
      <c r="B28"/>
      <c r="C28"/>
      <c r="D28"/>
      <c r="E28"/>
      <c r="F28"/>
      <c r="G28"/>
      <c r="H28"/>
      <c r="I28"/>
    </row>
    <row r="29" spans="1:20">
      <c r="A29"/>
      <c r="B29"/>
      <c r="C29"/>
      <c r="D29"/>
      <c r="E29"/>
      <c r="F29"/>
      <c r="G29"/>
      <c r="H29"/>
      <c r="I29"/>
    </row>
    <row r="30" spans="1:20">
      <c r="A30"/>
      <c r="B30"/>
      <c r="C30"/>
      <c r="D30"/>
      <c r="E30"/>
      <c r="F30"/>
      <c r="G30"/>
      <c r="H30"/>
      <c r="I30"/>
    </row>
    <row r="31" spans="1:20">
      <c r="A31"/>
      <c r="B31"/>
      <c r="C31"/>
      <c r="D31"/>
      <c r="E31"/>
      <c r="F31"/>
      <c r="G31"/>
      <c r="H31"/>
      <c r="I31"/>
    </row>
    <row r="32" spans="1:20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U39"/>
  <sheetViews>
    <sheetView workbookViewId="0">
      <selection activeCell="C11" sqref="C11:H11"/>
    </sheetView>
  </sheetViews>
  <sheetFormatPr defaultRowHeight="14.4"/>
  <cols>
    <col min="1" max="1" width="9.44140625" style="5" customWidth="1"/>
    <col min="2" max="2" width="52.6640625" style="5" bestFit="1" customWidth="1"/>
    <col min="3" max="8" width="10.88671875" style="5" customWidth="1"/>
    <col min="9" max="9" width="8.88671875" style="5"/>
    <col min="10" max="10" width="29" customWidth="1"/>
    <col min="11" max="13" width="9.109375" customWidth="1"/>
    <col min="14" max="14" width="10.21875" customWidth="1"/>
    <col min="15" max="16" width="9.109375" customWidth="1"/>
    <col min="17" max="17" width="10.77734375" customWidth="1"/>
    <col min="22" max="16384" width="8.88671875" style="5"/>
  </cols>
  <sheetData>
    <row r="1" spans="1:9">
      <c r="A1" s="6" t="s">
        <v>2</v>
      </c>
      <c r="B1" s="1"/>
      <c r="C1" s="1"/>
      <c r="D1" s="1"/>
      <c r="E1" s="1"/>
      <c r="F1" s="1"/>
      <c r="G1" s="1"/>
      <c r="H1" s="1"/>
    </row>
    <row r="2" spans="1:9">
      <c r="A2" s="93" t="s">
        <v>102</v>
      </c>
      <c r="B2" s="1"/>
      <c r="C2" s="7">
        <f>'[1]Complexity y IDC'!C5</f>
        <v>0.22</v>
      </c>
      <c r="D2" s="1" t="s">
        <v>3</v>
      </c>
      <c r="E2" s="1"/>
      <c r="F2" s="1"/>
      <c r="G2" s="1"/>
      <c r="H2" s="1"/>
    </row>
    <row r="3" spans="1:9">
      <c r="A3" s="1" t="s">
        <v>119</v>
      </c>
      <c r="B3" s="1"/>
      <c r="C3"/>
      <c r="D3"/>
      <c r="E3" s="1"/>
      <c r="F3" s="1"/>
      <c r="G3" s="1"/>
      <c r="H3" s="1"/>
    </row>
    <row r="4" spans="1:9">
      <c r="A4" s="94" t="s">
        <v>152</v>
      </c>
      <c r="B4" s="1"/>
      <c r="C4" s="1"/>
      <c r="D4" s="1"/>
      <c r="E4" s="1"/>
      <c r="F4" s="1"/>
      <c r="G4" s="1"/>
      <c r="H4" s="1"/>
    </row>
    <row r="5" spans="1:9">
      <c r="A5"/>
      <c r="B5"/>
      <c r="C5"/>
      <c r="D5"/>
      <c r="E5"/>
      <c r="F5"/>
      <c r="G5"/>
      <c r="H5"/>
      <c r="I5"/>
    </row>
    <row r="6" spans="1:9" ht="15" thickBot="1">
      <c r="A6" s="92"/>
      <c r="B6" s="170" t="s">
        <v>121</v>
      </c>
      <c r="C6" s="171" t="s">
        <v>122</v>
      </c>
      <c r="D6" s="172" t="s">
        <v>123</v>
      </c>
      <c r="E6" s="171" t="s">
        <v>124</v>
      </c>
      <c r="F6" s="172" t="s">
        <v>125</v>
      </c>
      <c r="G6" s="171" t="s">
        <v>153</v>
      </c>
      <c r="H6" s="172" t="s">
        <v>154</v>
      </c>
      <c r="I6" s="173" t="s">
        <v>126</v>
      </c>
    </row>
    <row r="7" spans="1:9">
      <c r="A7" s="92"/>
      <c r="B7" s="174" t="s">
        <v>127</v>
      </c>
      <c r="C7" s="175">
        <v>0</v>
      </c>
      <c r="D7" s="175">
        <v>0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</row>
    <row r="8" spans="1:9">
      <c r="A8" s="92"/>
      <c r="B8" s="176" t="s">
        <v>128</v>
      </c>
      <c r="C8" s="177">
        <v>653187.65198181476</v>
      </c>
      <c r="D8" s="177">
        <v>1106285.214829993</v>
      </c>
      <c r="E8" s="177">
        <v>1073065.5247486713</v>
      </c>
      <c r="F8" s="177">
        <v>826643.31637318328</v>
      </c>
      <c r="G8" s="177">
        <v>443317.33367484156</v>
      </c>
      <c r="H8" s="177">
        <v>242436.19773323947</v>
      </c>
      <c r="I8" s="177">
        <v>4344935.2393417433</v>
      </c>
    </row>
    <row r="9" spans="1:9">
      <c r="A9" s="92"/>
      <c r="B9" s="178" t="s">
        <v>129</v>
      </c>
      <c r="C9" s="179">
        <v>653187.65198181476</v>
      </c>
      <c r="D9" s="179">
        <v>1106285.214829993</v>
      </c>
      <c r="E9" s="179">
        <v>1073065.5247486713</v>
      </c>
      <c r="F9" s="179">
        <v>826643.31637318328</v>
      </c>
      <c r="G9" s="179">
        <v>443317.33367484156</v>
      </c>
      <c r="H9" s="179">
        <v>242436.19773323947</v>
      </c>
      <c r="I9" s="179">
        <v>4344935.2393417433</v>
      </c>
    </row>
    <row r="10" spans="1:9">
      <c r="A10" s="190">
        <v>0.56169999999999998</v>
      </c>
      <c r="B10" s="176" t="s">
        <v>130</v>
      </c>
      <c r="C10" s="177">
        <v>366895.50411818532</v>
      </c>
      <c r="D10" s="177">
        <v>621400.40517000703</v>
      </c>
      <c r="E10" s="177">
        <v>602740.90525132872</v>
      </c>
      <c r="F10" s="177">
        <v>464325.55080681702</v>
      </c>
      <c r="G10" s="177">
        <v>249011.34632515849</v>
      </c>
      <c r="H10" s="177">
        <v>136176.4122667606</v>
      </c>
      <c r="I10" s="177">
        <v>2440550.1239382573</v>
      </c>
    </row>
    <row r="11" spans="1:9">
      <c r="A11" s="92"/>
      <c r="B11" s="178" t="s">
        <v>131</v>
      </c>
      <c r="C11" s="179">
        <v>1020083.1561</v>
      </c>
      <c r="D11" s="179">
        <v>1727685.62</v>
      </c>
      <c r="E11" s="179">
        <v>1675806.4300000002</v>
      </c>
      <c r="F11" s="179">
        <v>1290968.8671800003</v>
      </c>
      <c r="G11" s="179">
        <v>692328.68</v>
      </c>
      <c r="H11" s="179">
        <v>378612.6100000001</v>
      </c>
      <c r="I11" s="179">
        <v>6785485.3632800002</v>
      </c>
    </row>
    <row r="12" spans="1:9">
      <c r="A12" s="92"/>
      <c r="B12" s="176" t="s">
        <v>132</v>
      </c>
      <c r="C12" s="177">
        <v>0</v>
      </c>
      <c r="D12" s="177">
        <v>0</v>
      </c>
      <c r="E12" s="177">
        <v>156160</v>
      </c>
      <c r="F12" s="177">
        <v>2768430.0512000001</v>
      </c>
      <c r="G12" s="177">
        <v>380640</v>
      </c>
      <c r="H12" s="177">
        <v>0</v>
      </c>
      <c r="I12" s="177">
        <v>3305230.0512000001</v>
      </c>
    </row>
    <row r="13" spans="1:9">
      <c r="A13" s="92"/>
      <c r="B13" s="176" t="s">
        <v>133</v>
      </c>
      <c r="C13" s="177">
        <v>24142.66</v>
      </c>
      <c r="D13" s="177">
        <v>39330.850000000006</v>
      </c>
      <c r="E13" s="177">
        <v>39030.130000000005</v>
      </c>
      <c r="F13" s="177">
        <v>23928.870000000006</v>
      </c>
      <c r="G13" s="177">
        <v>10026.32</v>
      </c>
      <c r="H13" s="177">
        <v>14451</v>
      </c>
      <c r="I13" s="177">
        <v>150909.83000000002</v>
      </c>
    </row>
    <row r="14" spans="1:9">
      <c r="A14" s="92"/>
      <c r="B14" s="176" t="s">
        <v>134</v>
      </c>
      <c r="C14" s="177">
        <v>36247.050000000003</v>
      </c>
      <c r="D14" s="177">
        <v>62764.89</v>
      </c>
      <c r="E14" s="177">
        <v>49872.180000000008</v>
      </c>
      <c r="F14" s="177">
        <v>28867.800000000007</v>
      </c>
      <c r="G14" s="177">
        <v>19777.560000000001</v>
      </c>
      <c r="H14" s="177">
        <v>39281.409999999996</v>
      </c>
      <c r="I14" s="177">
        <v>236810.89</v>
      </c>
    </row>
    <row r="15" spans="1:9">
      <c r="A15" s="92"/>
      <c r="B15" s="178" t="s">
        <v>65</v>
      </c>
      <c r="C15" s="179">
        <v>60389.710000000006</v>
      </c>
      <c r="D15" s="179">
        <v>102095.74</v>
      </c>
      <c r="E15" s="179">
        <v>88902.310000000012</v>
      </c>
      <c r="F15" s="179">
        <v>52796.670000000013</v>
      </c>
      <c r="G15" s="179">
        <v>29803.88</v>
      </c>
      <c r="H15" s="179">
        <v>53732.409999999996</v>
      </c>
      <c r="I15" s="179">
        <v>387720.72000000003</v>
      </c>
    </row>
    <row r="16" spans="1:9">
      <c r="A16" s="92"/>
      <c r="B16" s="176" t="s">
        <v>135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</row>
    <row r="17" spans="1:9">
      <c r="A17" s="92"/>
      <c r="B17" s="180" t="s">
        <v>136</v>
      </c>
      <c r="C17" s="177">
        <v>2288</v>
      </c>
      <c r="D17" s="177">
        <v>6863</v>
      </c>
      <c r="E17" s="177">
        <v>6863</v>
      </c>
      <c r="F17" s="177">
        <v>6863</v>
      </c>
      <c r="G17" s="177">
        <v>55663</v>
      </c>
      <c r="H17" s="177">
        <v>6860</v>
      </c>
      <c r="I17" s="177">
        <v>85400</v>
      </c>
    </row>
    <row r="18" spans="1:9">
      <c r="A18" s="92"/>
      <c r="B18" s="176" t="s">
        <v>137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</row>
    <row r="19" spans="1:9">
      <c r="A19" s="92"/>
      <c r="B19" s="176" t="s">
        <v>138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</row>
    <row r="20" spans="1:9">
      <c r="A20" s="92"/>
      <c r="B20" s="176" t="s">
        <v>139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</row>
    <row r="21" spans="1:9">
      <c r="A21" s="92"/>
      <c r="B21" s="176" t="s">
        <v>140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</row>
    <row r="22" spans="1:9">
      <c r="A22" s="92"/>
      <c r="B22" s="176" t="s">
        <v>141</v>
      </c>
      <c r="C22" s="177">
        <v>25235</v>
      </c>
      <c r="D22" s="177">
        <v>1198571.9687999999</v>
      </c>
      <c r="E22" s="177">
        <v>1834265.852</v>
      </c>
      <c r="F22" s="177">
        <v>1905060.9391999999</v>
      </c>
      <c r="G22" s="177">
        <v>2126042.2719999999</v>
      </c>
      <c r="H22" s="177">
        <v>1594531.7039999999</v>
      </c>
      <c r="I22" s="177">
        <v>8683707.7359999996</v>
      </c>
    </row>
    <row r="23" spans="1:9">
      <c r="A23" s="92"/>
      <c r="B23" s="178" t="s">
        <v>83</v>
      </c>
      <c r="C23" s="179">
        <v>27523</v>
      </c>
      <c r="D23" s="179">
        <v>1205434.9687999999</v>
      </c>
      <c r="E23" s="179">
        <v>1841128.852</v>
      </c>
      <c r="F23" s="179">
        <v>1911923.9391999999</v>
      </c>
      <c r="G23" s="179">
        <v>2181705.2719999999</v>
      </c>
      <c r="H23" s="179">
        <v>1601391.7039999999</v>
      </c>
      <c r="I23" s="179">
        <v>8769107.7359999996</v>
      </c>
    </row>
    <row r="24" spans="1:9">
      <c r="A24" s="92"/>
      <c r="B24" s="181" t="s">
        <v>142</v>
      </c>
      <c r="C24" s="179">
        <v>1107995.8661</v>
      </c>
      <c r="D24" s="179">
        <v>3035216.3288000003</v>
      </c>
      <c r="E24" s="179">
        <v>3761997.5920000002</v>
      </c>
      <c r="F24" s="179">
        <v>6024119.5275800005</v>
      </c>
      <c r="G24" s="179">
        <v>3284477.8319999999</v>
      </c>
      <c r="H24" s="179">
        <v>2033736.7239999999</v>
      </c>
      <c r="I24" s="179">
        <v>19247543.870480001</v>
      </c>
    </row>
    <row r="25" spans="1:9">
      <c r="A25" s="92"/>
      <c r="B25" s="182" t="s">
        <v>143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</row>
    <row r="26" spans="1:9" hidden="1">
      <c r="A26" s="92"/>
      <c r="B26" s="183" t="s">
        <v>89</v>
      </c>
      <c r="C26" s="184">
        <v>1107995.8661</v>
      </c>
      <c r="D26" s="184">
        <v>3035216.3288000003</v>
      </c>
      <c r="E26" s="184">
        <v>3761997.5920000002</v>
      </c>
      <c r="F26" s="184">
        <v>6024119.5275800005</v>
      </c>
      <c r="G26" s="184">
        <v>3284477.8319999999</v>
      </c>
      <c r="H26" s="184">
        <v>2033736.7239999999</v>
      </c>
      <c r="I26" s="184">
        <v>19247543.870480001</v>
      </c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30"/>
  <sheetViews>
    <sheetView workbookViewId="0">
      <selection activeCell="I43" sqref="I43"/>
    </sheetView>
  </sheetViews>
  <sheetFormatPr defaultColWidth="8.88671875" defaultRowHeight="14.4"/>
  <cols>
    <col min="1" max="1" width="6.109375" style="1" customWidth="1"/>
    <col min="2" max="2" width="41.88671875" style="1" customWidth="1"/>
    <col min="3" max="7" width="7.88671875" style="1" customWidth="1"/>
    <col min="8" max="8" width="24.88671875" bestFit="1" customWidth="1"/>
    <col min="9" max="9" width="27.109375" bestFit="1" customWidth="1"/>
    <col min="10" max="16" width="9.5546875" customWidth="1"/>
    <col min="18" max="16384" width="8.88671875" style="1"/>
  </cols>
  <sheetData>
    <row r="1" spans="1:17">
      <c r="A1" s="6" t="s">
        <v>2</v>
      </c>
    </row>
    <row r="2" spans="1:17">
      <c r="A2" s="93" t="s">
        <v>102</v>
      </c>
    </row>
    <row r="3" spans="1:17">
      <c r="A3" s="1" t="s">
        <v>12</v>
      </c>
      <c r="C3" s="7">
        <v>0.24</v>
      </c>
      <c r="D3" s="1" t="s">
        <v>147</v>
      </c>
    </row>
    <row r="4" spans="1:17">
      <c r="A4" s="94" t="s">
        <v>101</v>
      </c>
      <c r="C4"/>
      <c r="D4"/>
      <c r="E4" s="92"/>
    </row>
    <row r="5" spans="1:17">
      <c r="A5" s="94"/>
      <c r="C5" s="92"/>
      <c r="D5" s="92"/>
      <c r="E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ht="15" thickBot="1">
      <c r="A6" s="92"/>
      <c r="B6" s="170" t="s">
        <v>121</v>
      </c>
      <c r="C6" s="171" t="s">
        <v>122</v>
      </c>
      <c r="D6" s="172" t="s">
        <v>123</v>
      </c>
      <c r="E6" s="172" t="s">
        <v>124</v>
      </c>
      <c r="F6" s="172" t="s">
        <v>125</v>
      </c>
      <c r="G6" s="173" t="s">
        <v>126</v>
      </c>
    </row>
    <row r="7" spans="1:17">
      <c r="A7" s="92"/>
      <c r="B7" s="174" t="s">
        <v>127</v>
      </c>
      <c r="C7" s="175">
        <v>0</v>
      </c>
      <c r="D7" s="175">
        <v>0</v>
      </c>
      <c r="E7" s="175">
        <v>0</v>
      </c>
      <c r="F7" s="175">
        <v>0</v>
      </c>
      <c r="G7" s="175">
        <f t="shared" ref="G7:G8" si="0">SUM(C7:F7)</f>
        <v>0</v>
      </c>
    </row>
    <row r="8" spans="1:17">
      <c r="A8" s="92"/>
      <c r="B8" s="176" t="s">
        <v>128</v>
      </c>
      <c r="C8" s="177">
        <v>193906.67245964817</v>
      </c>
      <c r="D8" s="177">
        <v>528245.27438048285</v>
      </c>
      <c r="E8" s="177">
        <v>425433.0445653291</v>
      </c>
      <c r="F8" s="177">
        <v>130484.3131590351</v>
      </c>
      <c r="G8" s="177">
        <f t="shared" si="0"/>
        <v>1278069.3045644951</v>
      </c>
    </row>
    <row r="9" spans="1:17">
      <c r="A9" s="92"/>
      <c r="B9" s="178" t="s">
        <v>129</v>
      </c>
      <c r="C9" s="179">
        <f t="shared" ref="C9:G9" si="1">SUM(C7:C8)</f>
        <v>193906.67245964817</v>
      </c>
      <c r="D9" s="179">
        <f t="shared" si="1"/>
        <v>528245.27438048285</v>
      </c>
      <c r="E9" s="179">
        <f t="shared" si="1"/>
        <v>425433.0445653291</v>
      </c>
      <c r="F9" s="179">
        <f t="shared" si="1"/>
        <v>130484.3131590351</v>
      </c>
      <c r="G9" s="179">
        <f t="shared" si="1"/>
        <v>1278069.3045644951</v>
      </c>
    </row>
    <row r="10" spans="1:17">
      <c r="A10" s="190">
        <v>0.56169999999999998</v>
      </c>
      <c r="B10" s="176" t="s">
        <v>130</v>
      </c>
      <c r="C10" s="177">
        <f>C9*$A$10</f>
        <v>108917.37792058437</v>
      </c>
      <c r="D10" s="177">
        <f t="shared" ref="D10:F10" si="2">D9*$A$10</f>
        <v>296715.37061951723</v>
      </c>
      <c r="E10" s="177">
        <f t="shared" si="2"/>
        <v>238965.74113234534</v>
      </c>
      <c r="F10" s="177">
        <f t="shared" si="2"/>
        <v>73293.038701430007</v>
      </c>
      <c r="G10" s="177">
        <f>SUM(C10:F10)</f>
        <v>717891.52837387682</v>
      </c>
    </row>
    <row r="11" spans="1:17">
      <c r="A11" s="92"/>
      <c r="B11" s="178" t="s">
        <v>131</v>
      </c>
      <c r="C11" s="179">
        <f>SUM(C9:C10)</f>
        <v>302824.05038023251</v>
      </c>
      <c r="D11" s="179">
        <f t="shared" ref="D11:G11" si="3">SUM(D9:D10)</f>
        <v>824960.64500000002</v>
      </c>
      <c r="E11" s="179">
        <f t="shared" si="3"/>
        <v>664398.78569767438</v>
      </c>
      <c r="F11" s="179">
        <f t="shared" si="3"/>
        <v>203777.3518604651</v>
      </c>
      <c r="G11" s="179">
        <f t="shared" si="3"/>
        <v>1995960.8329383719</v>
      </c>
    </row>
    <row r="12" spans="1:17">
      <c r="A12" s="92"/>
      <c r="B12" s="176" t="s">
        <v>132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</row>
    <row r="13" spans="1:17">
      <c r="A13" s="92"/>
      <c r="B13" s="176" t="s">
        <v>133</v>
      </c>
      <c r="C13" s="177">
        <v>0</v>
      </c>
      <c r="D13" s="177">
        <v>2777.4</v>
      </c>
      <c r="E13" s="177">
        <v>5721.84</v>
      </c>
      <c r="F13" s="177">
        <v>2777.4</v>
      </c>
      <c r="G13" s="177">
        <f>SUM(C13:F13)</f>
        <v>11276.64</v>
      </c>
    </row>
    <row r="14" spans="1:17">
      <c r="A14" s="92"/>
      <c r="B14" s="176" t="s">
        <v>134</v>
      </c>
      <c r="C14" s="177">
        <v>12442.98</v>
      </c>
      <c r="D14" s="177">
        <v>49896.44</v>
      </c>
      <c r="E14" s="177">
        <v>35003.520000000004</v>
      </c>
      <c r="F14" s="177">
        <v>10837.08</v>
      </c>
      <c r="G14" s="177">
        <f>SUM(C14:F14)</f>
        <v>108180.02</v>
      </c>
    </row>
    <row r="15" spans="1:17">
      <c r="A15" s="92"/>
      <c r="B15" s="178" t="s">
        <v>65</v>
      </c>
      <c r="C15" s="179">
        <f>SUM(C13:C14)</f>
        <v>12442.98</v>
      </c>
      <c r="D15" s="179">
        <f t="shared" ref="D15:G15" si="4">SUM(D13:D14)</f>
        <v>52673.840000000004</v>
      </c>
      <c r="E15" s="179">
        <f t="shared" si="4"/>
        <v>40725.360000000001</v>
      </c>
      <c r="F15" s="179">
        <f t="shared" si="4"/>
        <v>13614.48</v>
      </c>
      <c r="G15" s="179">
        <f t="shared" si="4"/>
        <v>119456.66</v>
      </c>
    </row>
    <row r="16" spans="1:17">
      <c r="A16" s="92"/>
      <c r="B16" s="176" t="s">
        <v>135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</row>
    <row r="17" spans="1:7">
      <c r="A17" s="92"/>
      <c r="B17" s="180" t="s">
        <v>136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</row>
    <row r="18" spans="1:7" hidden="1">
      <c r="A18" s="92"/>
      <c r="B18" s="176" t="s">
        <v>137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</row>
    <row r="19" spans="1:7">
      <c r="A19" s="92"/>
      <c r="B19" s="176" t="s">
        <v>138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</row>
    <row r="20" spans="1:7">
      <c r="A20" s="92"/>
      <c r="B20" s="176" t="s">
        <v>139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</row>
    <row r="21" spans="1:7">
      <c r="A21" s="92"/>
      <c r="B21" s="176" t="s">
        <v>140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</row>
    <row r="22" spans="1:7">
      <c r="A22" s="92"/>
      <c r="B22" s="176" t="s">
        <v>141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</row>
    <row r="23" spans="1:7">
      <c r="A23" s="92"/>
      <c r="B23" s="178" t="s">
        <v>83</v>
      </c>
      <c r="C23" s="179">
        <f>SUM(C16:C22)</f>
        <v>0</v>
      </c>
      <c r="D23" s="179">
        <f t="shared" ref="D23:G23" si="5">SUM(D16:D22)</f>
        <v>0</v>
      </c>
      <c r="E23" s="179">
        <f t="shared" si="5"/>
        <v>0</v>
      </c>
      <c r="F23" s="179">
        <f t="shared" si="5"/>
        <v>0</v>
      </c>
      <c r="G23" s="179">
        <f t="shared" si="5"/>
        <v>0</v>
      </c>
    </row>
    <row r="24" spans="1:7">
      <c r="A24" s="92"/>
      <c r="B24" s="181" t="s">
        <v>142</v>
      </c>
      <c r="C24" s="179">
        <f>C11+C15+C23</f>
        <v>315267.03038023249</v>
      </c>
      <c r="D24" s="179">
        <f t="shared" ref="D24:G24" si="6">D11+D15+D23</f>
        <v>877634.48499999999</v>
      </c>
      <c r="E24" s="179">
        <f t="shared" si="6"/>
        <v>705124.14569767436</v>
      </c>
      <c r="F24" s="179">
        <f t="shared" si="6"/>
        <v>217391.83186046511</v>
      </c>
      <c r="G24" s="179">
        <f t="shared" si="6"/>
        <v>2115417.4929383718</v>
      </c>
    </row>
    <row r="25" spans="1:7">
      <c r="A25" s="92"/>
      <c r="B25" s="182" t="s">
        <v>146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</row>
    <row r="26" spans="1:7">
      <c r="A26" s="92"/>
      <c r="B26" s="183" t="s">
        <v>89</v>
      </c>
      <c r="C26" s="184">
        <f>SUM(C24:C25)</f>
        <v>315267.03038023249</v>
      </c>
      <c r="D26" s="184">
        <f t="shared" ref="D26:G26" si="7">SUM(D24:D25)</f>
        <v>877634.48499999999</v>
      </c>
      <c r="E26" s="184">
        <f t="shared" si="7"/>
        <v>705124.14569767436</v>
      </c>
      <c r="F26" s="184">
        <f t="shared" si="7"/>
        <v>217391.83186046511</v>
      </c>
      <c r="G26" s="184">
        <f t="shared" si="7"/>
        <v>2115417.4929383718</v>
      </c>
    </row>
    <row r="27" spans="1:7">
      <c r="A27" s="92"/>
      <c r="B27" s="185" t="s">
        <v>144</v>
      </c>
      <c r="C27" s="186">
        <v>43374</v>
      </c>
      <c r="D27" s="187"/>
      <c r="E27" s="187"/>
      <c r="F27" s="187"/>
      <c r="G27" s="187"/>
    </row>
    <row r="28" spans="1:7">
      <c r="A28" s="92"/>
      <c r="B28" s="188" t="s">
        <v>145</v>
      </c>
      <c r="C28" s="186">
        <v>45565</v>
      </c>
      <c r="D28" s="187"/>
      <c r="E28" s="187"/>
      <c r="F28" s="187"/>
      <c r="G28" s="187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32"/>
  <sheetViews>
    <sheetView workbookViewId="0">
      <selection activeCell="B27" sqref="B27:G28"/>
    </sheetView>
  </sheetViews>
  <sheetFormatPr defaultRowHeight="14.4"/>
  <cols>
    <col min="1" max="1" width="7.77734375" style="5" customWidth="1"/>
    <col min="2" max="2" width="44.5546875" style="5" bestFit="1" customWidth="1"/>
    <col min="3" max="3" width="7.5546875" style="5" customWidth="1"/>
    <col min="4" max="5" width="9" style="5" bestFit="1" customWidth="1"/>
    <col min="6" max="6" width="8.21875" style="5" bestFit="1" customWidth="1"/>
    <col min="7" max="7" width="9" style="5" bestFit="1" customWidth="1"/>
    <col min="8" max="8" width="6.44140625" bestFit="1" customWidth="1"/>
    <col min="9" max="12" width="8.88671875" style="5"/>
    <col min="13" max="13" width="34.33203125" bestFit="1" customWidth="1"/>
    <col min="17" max="19" width="2.77734375" bestFit="1" customWidth="1"/>
    <col min="22" max="16384" width="8.88671875" style="5"/>
  </cols>
  <sheetData>
    <row r="1" spans="1:7">
      <c r="A1" s="6" t="s">
        <v>2</v>
      </c>
      <c r="B1" s="1"/>
      <c r="C1" s="1"/>
      <c r="D1" s="1"/>
      <c r="E1" s="1"/>
      <c r="F1" s="1"/>
      <c r="G1" s="1"/>
    </row>
    <row r="2" spans="1:7">
      <c r="A2" s="6" t="s">
        <v>102</v>
      </c>
      <c r="B2" s="1"/>
      <c r="C2" s="22" t="s">
        <v>13</v>
      </c>
      <c r="D2" s="22"/>
      <c r="E2" s="22"/>
      <c r="F2" s="1"/>
      <c r="G2" s="1"/>
    </row>
    <row r="3" spans="1:7">
      <c r="A3" s="6" t="s">
        <v>20</v>
      </c>
      <c r="B3" s="1"/>
      <c r="C3"/>
      <c r="D3"/>
      <c r="E3" s="1"/>
      <c r="F3" s="1"/>
      <c r="G3" s="1"/>
    </row>
    <row r="4" spans="1:7">
      <c r="A4" s="94" t="s">
        <v>120</v>
      </c>
      <c r="B4" s="1"/>
      <c r="C4" s="1"/>
      <c r="D4" s="1"/>
      <c r="E4" s="1"/>
      <c r="F4" s="1"/>
      <c r="G4" s="1"/>
    </row>
    <row r="5" spans="1:7">
      <c r="A5"/>
      <c r="B5" s="1"/>
      <c r="C5" s="1"/>
      <c r="D5" s="1"/>
      <c r="E5" s="1"/>
      <c r="F5" s="1"/>
      <c r="G5" s="1"/>
    </row>
    <row r="6" spans="1:7" ht="15" thickBot="1">
      <c r="A6"/>
      <c r="B6" s="170" t="s">
        <v>121</v>
      </c>
      <c r="C6" s="171" t="s">
        <v>122</v>
      </c>
      <c r="D6" s="172" t="s">
        <v>123</v>
      </c>
      <c r="E6" s="172" t="s">
        <v>124</v>
      </c>
      <c r="F6" s="172" t="s">
        <v>125</v>
      </c>
      <c r="G6" s="173" t="s">
        <v>126</v>
      </c>
    </row>
    <row r="7" spans="1:7">
      <c r="A7"/>
      <c r="B7" s="174" t="s">
        <v>127</v>
      </c>
      <c r="C7" s="175">
        <v>0</v>
      </c>
      <c r="D7" s="175">
        <v>0</v>
      </c>
      <c r="E7" s="175">
        <v>0</v>
      </c>
      <c r="F7" s="175">
        <v>0</v>
      </c>
      <c r="G7" s="175">
        <f t="shared" ref="G7:G8" si="0">SUM(C7:F7)</f>
        <v>0</v>
      </c>
    </row>
    <row r="8" spans="1:7">
      <c r="A8"/>
      <c r="B8" s="176" t="s">
        <v>128</v>
      </c>
      <c r="C8" s="177">
        <v>45386.750171957407</v>
      </c>
      <c r="D8" s="177">
        <v>80943.662491930649</v>
      </c>
      <c r="E8" s="177">
        <v>80636.149215069687</v>
      </c>
      <c r="F8" s="177">
        <v>7687.061639052702</v>
      </c>
      <c r="G8" s="177">
        <f t="shared" si="0"/>
        <v>214653.62351801043</v>
      </c>
    </row>
    <row r="9" spans="1:7">
      <c r="A9"/>
      <c r="B9" s="178" t="s">
        <v>129</v>
      </c>
      <c r="C9" s="179">
        <f t="shared" ref="C9:G9" si="1">SUM(C7:C8)</f>
        <v>45386.750171957407</v>
      </c>
      <c r="D9" s="179">
        <f t="shared" si="1"/>
        <v>80943.662491930649</v>
      </c>
      <c r="E9" s="179">
        <f t="shared" si="1"/>
        <v>80636.149215069687</v>
      </c>
      <c r="F9" s="179">
        <f t="shared" si="1"/>
        <v>7687.061639052702</v>
      </c>
      <c r="G9" s="179">
        <f t="shared" si="1"/>
        <v>214653.62351801043</v>
      </c>
    </row>
    <row r="10" spans="1:7">
      <c r="A10" s="189">
        <v>0.56169999999999998</v>
      </c>
      <c r="B10" s="176" t="s">
        <v>130</v>
      </c>
      <c r="C10" s="177">
        <f>C9*$A$10</f>
        <v>25493.737571588474</v>
      </c>
      <c r="D10" s="177">
        <f t="shared" ref="D10:F10" si="2">D9*$A$10</f>
        <v>45466.055221717441</v>
      </c>
      <c r="E10" s="177">
        <f t="shared" si="2"/>
        <v>45293.325014104645</v>
      </c>
      <c r="F10" s="177">
        <f t="shared" si="2"/>
        <v>4317.8225226559025</v>
      </c>
      <c r="G10" s="177">
        <f>SUM(C10:F10)</f>
        <v>120570.94033006646</v>
      </c>
    </row>
    <row r="11" spans="1:7">
      <c r="A11"/>
      <c r="B11" s="178" t="s">
        <v>131</v>
      </c>
      <c r="C11" s="179">
        <f>SUM(C9:C10)</f>
        <v>70880.487743545877</v>
      </c>
      <c r="D11" s="179">
        <f t="shared" ref="D11:G11" si="3">SUM(D9:D10)</f>
        <v>126409.71771364809</v>
      </c>
      <c r="E11" s="179">
        <f t="shared" si="3"/>
        <v>125929.47422917433</v>
      </c>
      <c r="F11" s="179">
        <f t="shared" si="3"/>
        <v>12004.884161708604</v>
      </c>
      <c r="G11" s="179">
        <f t="shared" si="3"/>
        <v>335224.56384807685</v>
      </c>
    </row>
    <row r="12" spans="1:7">
      <c r="A12"/>
      <c r="B12" s="176" t="s">
        <v>132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</row>
    <row r="13" spans="1:7">
      <c r="A13"/>
      <c r="B13" s="176" t="s">
        <v>133</v>
      </c>
      <c r="C13" s="177">
        <v>45567.489999999991</v>
      </c>
      <c r="D13" s="177">
        <v>9948.5</v>
      </c>
      <c r="E13" s="177">
        <v>4072.6</v>
      </c>
      <c r="F13" s="177">
        <v>0</v>
      </c>
      <c r="G13" s="177">
        <f>SUM(C13:F13)</f>
        <v>59588.589999999989</v>
      </c>
    </row>
    <row r="14" spans="1:7">
      <c r="A14"/>
      <c r="B14" s="176" t="s">
        <v>134</v>
      </c>
      <c r="C14" s="177">
        <v>23133.739999999998</v>
      </c>
      <c r="D14" s="177">
        <v>9065.49</v>
      </c>
      <c r="E14" s="177">
        <v>2761</v>
      </c>
      <c r="F14" s="177">
        <v>0</v>
      </c>
      <c r="G14" s="177">
        <f>SUM(C14:F14)</f>
        <v>34960.229999999996</v>
      </c>
    </row>
    <row r="15" spans="1:7">
      <c r="A15"/>
      <c r="B15" s="178" t="s">
        <v>65</v>
      </c>
      <c r="C15" s="179">
        <f>SUM(C13:C14)</f>
        <v>68701.229999999981</v>
      </c>
      <c r="D15" s="179">
        <f t="shared" ref="D15:G15" si="4">SUM(D13:D14)</f>
        <v>19013.989999999998</v>
      </c>
      <c r="E15" s="179">
        <f t="shared" si="4"/>
        <v>6833.6</v>
      </c>
      <c r="F15" s="179">
        <f t="shared" si="4"/>
        <v>0</v>
      </c>
      <c r="G15" s="179">
        <f t="shared" si="4"/>
        <v>94548.819999999978</v>
      </c>
    </row>
    <row r="16" spans="1:7">
      <c r="A16"/>
      <c r="B16" s="176" t="s">
        <v>135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</row>
    <row r="17" spans="1:7">
      <c r="A17"/>
      <c r="B17" s="180" t="s">
        <v>136</v>
      </c>
      <c r="C17" s="177">
        <v>1500</v>
      </c>
      <c r="D17" s="177">
        <v>6000</v>
      </c>
      <c r="E17" s="177">
        <v>3000</v>
      </c>
      <c r="F17" s="177">
        <v>1500</v>
      </c>
      <c r="G17" s="177">
        <f>SUM(C17:F17)</f>
        <v>12000</v>
      </c>
    </row>
    <row r="18" spans="1:7">
      <c r="A18"/>
      <c r="B18" s="176" t="s">
        <v>137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</row>
    <row r="19" spans="1:7">
      <c r="A19"/>
      <c r="B19" s="176" t="s">
        <v>138</v>
      </c>
      <c r="C19" s="177">
        <v>12000</v>
      </c>
      <c r="D19" s="177">
        <v>0</v>
      </c>
      <c r="E19" s="177">
        <v>12000</v>
      </c>
      <c r="F19" s="177">
        <v>0</v>
      </c>
      <c r="G19" s="177">
        <f>SUM(C19:F19)</f>
        <v>24000</v>
      </c>
    </row>
    <row r="20" spans="1:7">
      <c r="A20"/>
      <c r="B20" s="176" t="s">
        <v>139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ref="G20:G22" si="5">SUM(C20:F20)</f>
        <v>0</v>
      </c>
    </row>
    <row r="21" spans="1:7">
      <c r="A21"/>
      <c r="B21" s="176" t="s">
        <v>140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5"/>
        <v>0</v>
      </c>
    </row>
    <row r="22" spans="1:7">
      <c r="A22"/>
      <c r="B22" s="176" t="s">
        <v>141</v>
      </c>
      <c r="C22" s="177">
        <v>7000</v>
      </c>
      <c r="D22" s="177">
        <v>207500</v>
      </c>
      <c r="E22" s="177">
        <v>0</v>
      </c>
      <c r="F22" s="177">
        <v>0</v>
      </c>
      <c r="G22" s="177">
        <f t="shared" si="5"/>
        <v>214500</v>
      </c>
    </row>
    <row r="23" spans="1:7">
      <c r="A23"/>
      <c r="B23" s="178" t="s">
        <v>83</v>
      </c>
      <c r="C23" s="179">
        <f>SUM(C16:C22)</f>
        <v>20500</v>
      </c>
      <c r="D23" s="179">
        <f t="shared" ref="D23:G23" si="6">SUM(D16:D22)</f>
        <v>213500</v>
      </c>
      <c r="E23" s="179">
        <f t="shared" si="6"/>
        <v>15000</v>
      </c>
      <c r="F23" s="179">
        <f t="shared" si="6"/>
        <v>1500</v>
      </c>
      <c r="G23" s="179">
        <f t="shared" si="6"/>
        <v>250500</v>
      </c>
    </row>
    <row r="24" spans="1:7">
      <c r="A24"/>
      <c r="B24" s="181" t="s">
        <v>142</v>
      </c>
      <c r="C24" s="179">
        <f>C11+C15+C23</f>
        <v>160081.71774354586</v>
      </c>
      <c r="D24" s="179">
        <f t="shared" ref="D24:G24" si="7">D11+D15+D23</f>
        <v>358923.70771364809</v>
      </c>
      <c r="E24" s="179">
        <f t="shared" si="7"/>
        <v>147763.07422917432</v>
      </c>
      <c r="F24" s="179">
        <f t="shared" si="7"/>
        <v>13504.884161708604</v>
      </c>
      <c r="G24" s="179">
        <f t="shared" si="7"/>
        <v>680273.3838480768</v>
      </c>
    </row>
    <row r="25" spans="1:7">
      <c r="A25"/>
      <c r="B25" s="182" t="s">
        <v>146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</row>
    <row r="26" spans="1:7">
      <c r="A26"/>
      <c r="B26" s="183" t="s">
        <v>89</v>
      </c>
      <c r="C26" s="184">
        <f>SUM(C24:C25)</f>
        <v>160081.71774354586</v>
      </c>
      <c r="D26" s="184">
        <f t="shared" ref="D26:G26" si="8">SUM(D24:D25)</f>
        <v>358923.70771364809</v>
      </c>
      <c r="E26" s="184">
        <f t="shared" si="8"/>
        <v>147763.07422917432</v>
      </c>
      <c r="F26" s="184">
        <f t="shared" si="8"/>
        <v>13504.884161708604</v>
      </c>
      <c r="G26" s="184">
        <f t="shared" si="8"/>
        <v>680273.3838480768</v>
      </c>
    </row>
    <row r="27" spans="1:7">
      <c r="A27"/>
      <c r="B27" s="185" t="s">
        <v>144</v>
      </c>
      <c r="C27" s="186">
        <v>43374</v>
      </c>
      <c r="D27" s="187"/>
      <c r="E27" s="187"/>
      <c r="F27" s="187"/>
      <c r="G27" s="187"/>
    </row>
    <row r="28" spans="1:7">
      <c r="A28"/>
      <c r="B28" s="188" t="s">
        <v>145</v>
      </c>
      <c r="C28" s="186">
        <v>45565</v>
      </c>
      <c r="D28" s="187"/>
      <c r="E28" s="187"/>
      <c r="F28" s="187"/>
      <c r="G28" s="187"/>
    </row>
    <row r="29" spans="1:7">
      <c r="A29"/>
      <c r="B29"/>
      <c r="C29"/>
      <c r="D29"/>
      <c r="E29"/>
      <c r="F29"/>
      <c r="G29"/>
    </row>
    <row r="30" spans="1:7">
      <c r="A30"/>
    </row>
    <row r="31" spans="1:7">
      <c r="A31"/>
    </row>
    <row r="32" spans="1:7">
      <c r="A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Budget Summary</vt:lpstr>
      <vt:lpstr>Summary by WBS w IDC MTDC</vt:lpstr>
      <vt:lpstr>IDC y MTDC</vt:lpstr>
      <vt:lpstr>Summary</vt:lpstr>
      <vt:lpstr>PMO Mgmt</vt:lpstr>
      <vt:lpstr>GNAO-RTC</vt:lpstr>
      <vt:lpstr>TDA</vt:lpstr>
      <vt:lpstr>PIO</vt:lpstr>
      <vt:lpstr>'Summary by WBS w IDC MTDC'!Print_Area</vt:lpstr>
      <vt:lpstr>'Summary by WBS w IDC MTDC'!Print_Titles</vt:lpstr>
    </vt:vector>
  </TitlesOfParts>
  <Company>Gemini Observatory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Brown</dc:creator>
  <cp:lastModifiedBy>Tamara Brown</cp:lastModifiedBy>
  <cp:lastPrinted>2018-09-13T16:27:05Z</cp:lastPrinted>
  <dcterms:created xsi:type="dcterms:W3CDTF">2018-05-18T20:11:11Z</dcterms:created>
  <dcterms:modified xsi:type="dcterms:W3CDTF">2019-05-24T04:27:44Z</dcterms:modified>
</cp:coreProperties>
</file>